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put and Output" sheetId="1" r:id="rId1"/>
  </sheets>
  <definedNames/>
  <calcPr fullCalcOnLoad="1"/>
</workbook>
</file>

<file path=xl/sharedStrings.xml><?xml version="1.0" encoding="utf-8"?>
<sst xmlns="http://schemas.openxmlformats.org/spreadsheetml/2006/main" count="124" uniqueCount="95">
  <si>
    <t>X1</t>
  </si>
  <si>
    <t>Y1</t>
  </si>
  <si>
    <t>Z1</t>
  </si>
  <si>
    <t>X2</t>
  </si>
  <si>
    <t>Y2</t>
  </si>
  <si>
    <t>Z2</t>
  </si>
  <si>
    <t>Wire</t>
  </si>
  <si>
    <t>Input values are entered in these cells only</t>
  </si>
  <si>
    <t>in.</t>
  </si>
  <si>
    <t xml:space="preserve">    Wire Dia.</t>
  </si>
  <si>
    <t>Baseplate height</t>
  </si>
  <si>
    <t>ft</t>
  </si>
  <si>
    <t>Band</t>
  </si>
  <si>
    <t>Band Ht.</t>
  </si>
  <si>
    <t>Rad Lgth</t>
  </si>
  <si>
    <t>Rad Sp</t>
  </si>
  <si>
    <t>Refl Lgth</t>
  </si>
  <si>
    <t>Refl Sp</t>
  </si>
  <si>
    <t>Inches above base plate</t>
  </si>
  <si>
    <t>Angle A</t>
  </si>
  <si>
    <t>(deg.)</t>
  </si>
  <si>
    <t>Sin A</t>
  </si>
  <si>
    <t>Cos A</t>
  </si>
  <si>
    <t>Tan A</t>
  </si>
  <si>
    <t>Sin (90-A)</t>
  </si>
  <si>
    <t>Cos (90 - A)</t>
  </si>
  <si>
    <t>Tan (90-A)</t>
  </si>
  <si>
    <t>Wire Dia</t>
  </si>
  <si>
    <t>Segments</t>
  </si>
  <si>
    <t>Centerpost Diameter</t>
  </si>
  <si>
    <t>20 M Driver</t>
  </si>
  <si>
    <t>Left Side</t>
  </si>
  <si>
    <t>Right Side</t>
  </si>
  <si>
    <t>20 M Refl</t>
  </si>
  <si>
    <t>in</t>
  </si>
  <si>
    <t>18 M Driver</t>
  </si>
  <si>
    <t>15 M Driver</t>
  </si>
  <si>
    <t>12 M Driver</t>
  </si>
  <si>
    <t>10 M Driver</t>
  </si>
  <si>
    <t>18 M Reflector</t>
  </si>
  <si>
    <t>15 M Reflector</t>
  </si>
  <si>
    <t>12 M Reflector</t>
  </si>
  <si>
    <t>10 M Reflector</t>
  </si>
  <si>
    <t>Seg length</t>
  </si>
  <si>
    <t xml:space="preserve">2. The EZNEC wire coordinates and other data for use in the wire matrix of EZNEC will be </t>
  </si>
  <si>
    <t>3. Highlight the parts of the grey area only for the bands needed (e.g., Band 1,2 and 3)</t>
  </si>
  <si>
    <t xml:space="preserve">1. Enter hexbeam data in cells that are red. Other cells can not be changed by the user. </t>
  </si>
  <si>
    <t xml:space="preserve">     The two cells with "in" must be included as they tell EZNEC the units to be used. </t>
  </si>
  <si>
    <t xml:space="preserve">     (Insert "cm" if centimeters are to be used.)</t>
  </si>
  <si>
    <t>Driver Length</t>
  </si>
  <si>
    <t>Driver End Space</t>
  </si>
  <si>
    <t>Height above base plate</t>
  </si>
  <si>
    <t>Baseplate height above ground</t>
  </si>
  <si>
    <t>Wire Diameter</t>
  </si>
  <si>
    <t>Refl Length</t>
  </si>
  <si>
    <t>Refl End Space</t>
  </si>
  <si>
    <t>CONVERSION OF HEXBEAM WIRES AND SPACING TO EZNEC WIRE GRID CO-ORDINATES</t>
  </si>
  <si>
    <t>Notes</t>
  </si>
  <si>
    <t>Gauge</t>
  </si>
  <si>
    <t>Dia. In.</t>
  </si>
  <si>
    <t>7. You must create the Source and Transmission lines in EZNEC. See the illustrations below for these</t>
  </si>
  <si>
    <t xml:space="preserve">    In order to achieve higher accuracy in EZNEC, the hexbeam wires are broken into many</t>
  </si>
  <si>
    <t xml:space="preserve">    smaller wires with multiple segments in some, especially the inside wires. Thus, to</t>
  </si>
  <si>
    <t xml:space="preserve">    up into smaller pieces, all connected correctly with X,Y,Z co-ordinates assigned at the</t>
  </si>
  <si>
    <t xml:space="preserve">    proper places depending on the lengths you select. </t>
  </si>
  <si>
    <t>How to Use this Spreadsheet to create EZNEC wire coordinates</t>
  </si>
  <si>
    <t>1. End space is the length of the insulator from the end of wire to the spreader</t>
  </si>
  <si>
    <t xml:space="preserve">     Actual Hexbeam dimensions of your hexbeam</t>
  </si>
  <si>
    <t>Inches or centimeters can be used</t>
  </si>
  <si>
    <t xml:space="preserve">    model even a single band, 30 wire pieces are used consisting of even more segments.</t>
  </si>
  <si>
    <t xml:space="preserve">    When you input your hexbeam wire lengths, the spreadsheet automatically breaks these </t>
  </si>
  <si>
    <t xml:space="preserve">    connected between all bands you choose to model. See illustration below.</t>
  </si>
  <si>
    <t>2. Driver and Reflector lenghts are 1/2 the total lengths of the respective wires.</t>
  </si>
  <si>
    <t xml:space="preserve">  </t>
  </si>
  <si>
    <t xml:space="preserve">    </t>
  </si>
  <si>
    <t xml:space="preserve">      </t>
  </si>
  <si>
    <t xml:space="preserve">    co-ordinates unless typed into the red areas below.)</t>
  </si>
  <si>
    <t xml:space="preserve">  and antenna height. The wires are broken by the spreadsheet into smaller pieces and then segments are created to produce more accurate results from the EZNEC model</t>
  </si>
  <si>
    <t xml:space="preserve">    Wire #8 is the middle wire between each half driver for the first band and</t>
  </si>
  <si>
    <t xml:space="preserve">    is the location of the EZNEC source for that band and for all other bands. </t>
  </si>
  <si>
    <t xml:space="preserve">    For a five band hexbeam, the middle wires for the bands will be assigned</t>
  </si>
  <si>
    <t xml:space="preserve">    numbers 8, 38, 68, 98, 128. You must be sure the transmission line in EZNEC is </t>
  </si>
  <si>
    <t xml:space="preserve">      automatically generated in the grey areas of the worksheet.</t>
  </si>
  <si>
    <t xml:space="preserve">4. "Copy and Paste" cells in grey area to an unformatted text file in Notepad  </t>
  </si>
  <si>
    <t>5. Save the unformatted text file. Any name will do fine but remember where it is located.</t>
  </si>
  <si>
    <t>6. Open EZNEC and use the File menu to import the text file with the wire coordinates.</t>
  </si>
  <si>
    <t xml:space="preserve">8.  Now, run EZNEC for the appropriate frequency, ground conditions, etc. </t>
  </si>
  <si>
    <t xml:space="preserve"> Handy wire table</t>
  </si>
  <si>
    <t xml:space="preserve">  This spreadsheet enables the user to easily create EZNEC wire coordinates from the hexbeam physical dimensions such as wire lengths, end spacing, post diameter, wire diameter </t>
  </si>
  <si>
    <t>G3TXQ</t>
  </si>
  <si>
    <t>1. Data cells in the green box. Changing these cells is for your record only and affects no other cells in the spreadsheet</t>
  </si>
  <si>
    <t xml:space="preserve">2. Data cells in RED. Changing these cells is the operative action for creating the EZNEC coordinates. </t>
  </si>
  <si>
    <t>All Cells in this spreadsheet are protected from change except for:</t>
  </si>
  <si>
    <t xml:space="preserve">   (For your records only. These numbers will not affect the XYZ </t>
  </si>
  <si>
    <t>Protection can be suspended by using the Tools menu. No password is needed.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</si>
</sst>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[$-409]dddd\,\ mmmm\ dd\,\ yyyy"/>
    <numFmt numFmtId="169" formatCode="[$-409]mmmm\ d\,\ yyyy;@"/>
    <numFmt numFmtId="170" formatCode="[$-409]d\-mmm\-yyyy;@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solid">
        <fgColor indexed="52"/>
        <bgColor indexed="64"/>
      </patternFill>
    </fill>
    <fill>
      <patternFill patternType="gray0625">
        <bgColor indexed="52"/>
      </patternFill>
    </fill>
    <fill>
      <patternFill patternType="solid">
        <fgColor indexed="49"/>
        <bgColor indexed="64"/>
      </patternFill>
    </fill>
    <fill>
      <patternFill patternType="gray0625">
        <bgColor indexed="49"/>
      </patternFill>
    </fill>
    <fill>
      <patternFill patternType="solid">
        <fgColor indexed="14"/>
        <bgColor indexed="64"/>
      </patternFill>
    </fill>
    <fill>
      <patternFill patternType="gray0625">
        <bgColor indexed="1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65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2" fontId="3" fillId="2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center"/>
      <protection/>
    </xf>
    <xf numFmtId="165" fontId="1" fillId="3" borderId="4" xfId="0" applyNumberFormat="1" applyFont="1" applyFill="1" applyBorder="1" applyAlignment="1" applyProtection="1">
      <alignment horizontal="center" wrapText="1"/>
      <protection/>
    </xf>
    <xf numFmtId="0" fontId="1" fillId="3" borderId="0" xfId="0" applyFont="1" applyFill="1" applyBorder="1" applyAlignment="1" applyProtection="1">
      <alignment horizontal="center" wrapText="1"/>
      <protection/>
    </xf>
    <xf numFmtId="0" fontId="1" fillId="3" borderId="5" xfId="0" applyFont="1" applyFill="1" applyBorder="1" applyAlignment="1" applyProtection="1">
      <alignment horizontal="center" wrapText="1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 locked="0"/>
    </xf>
    <xf numFmtId="165" fontId="3" fillId="3" borderId="0" xfId="0" applyNumberFormat="1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164" fontId="0" fillId="3" borderId="10" xfId="0" applyNumberFormat="1" applyFill="1" applyBorder="1" applyAlignment="1" applyProtection="1">
      <alignment horizontal="center"/>
      <protection/>
    </xf>
    <xf numFmtId="164" fontId="0" fillId="3" borderId="11" xfId="0" applyNumberForma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left"/>
      <protection/>
    </xf>
    <xf numFmtId="0" fontId="0" fillId="3" borderId="13" xfId="0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left"/>
      <protection/>
    </xf>
    <xf numFmtId="1" fontId="3" fillId="3" borderId="0" xfId="0" applyNumberFormat="1" applyFont="1" applyFill="1" applyBorder="1" applyAlignment="1" applyProtection="1">
      <alignment horizontal="center"/>
      <protection/>
    </xf>
    <xf numFmtId="1" fontId="3" fillId="2" borderId="5" xfId="0" applyNumberFormat="1" applyFont="1" applyFill="1" applyBorder="1" applyAlignment="1" applyProtection="1">
      <alignment horizontal="center"/>
      <protection/>
    </xf>
    <xf numFmtId="165" fontId="3" fillId="2" borderId="15" xfId="0" applyNumberFormat="1" applyFont="1" applyFill="1" applyBorder="1" applyAlignment="1" applyProtection="1">
      <alignment horizontal="center"/>
      <protection/>
    </xf>
    <xf numFmtId="1" fontId="3" fillId="2" borderId="16" xfId="0" applyNumberFormat="1" applyFont="1" applyFill="1" applyBorder="1" applyAlignment="1" applyProtection="1">
      <alignment horizontal="center"/>
      <protection/>
    </xf>
    <xf numFmtId="1" fontId="0" fillId="3" borderId="4" xfId="0" applyNumberFormat="1" applyFont="1" applyFill="1" applyBorder="1" applyAlignment="1" applyProtection="1">
      <alignment horizontal="center"/>
      <protection/>
    </xf>
    <xf numFmtId="1" fontId="0" fillId="3" borderId="17" xfId="0" applyNumberFormat="1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5" xfId="0" applyFont="1" applyFill="1" applyBorder="1" applyAlignment="1" applyProtection="1">
      <alignment horizontal="center" wrapText="1"/>
      <protection/>
    </xf>
    <xf numFmtId="0" fontId="0" fillId="4" borderId="4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17" xfId="0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left"/>
      <protection/>
    </xf>
    <xf numFmtId="2" fontId="0" fillId="5" borderId="0" xfId="0" applyNumberFormat="1" applyFon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65" fontId="0" fillId="5" borderId="0" xfId="0" applyNumberFormat="1" applyFill="1" applyBorder="1" applyAlignment="1" applyProtection="1">
      <alignment horizontal="center"/>
      <protection/>
    </xf>
    <xf numFmtId="2" fontId="0" fillId="5" borderId="0" xfId="0" applyNumberFormat="1" applyFill="1" applyBorder="1" applyAlignment="1" applyProtection="1">
      <alignment horizontal="center"/>
      <protection/>
    </xf>
    <xf numFmtId="164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2" fontId="0" fillId="7" borderId="0" xfId="0" applyNumberFormat="1" applyFill="1" applyBorder="1" applyAlignment="1" applyProtection="1">
      <alignment horizontal="center"/>
      <protection/>
    </xf>
    <xf numFmtId="1" fontId="0" fillId="7" borderId="0" xfId="0" applyNumberFormat="1" applyFill="1" applyBorder="1" applyAlignment="1" applyProtection="1">
      <alignment horizontal="center"/>
      <protection/>
    </xf>
    <xf numFmtId="165" fontId="0" fillId="7" borderId="0" xfId="0" applyNumberFormat="1" applyFill="1" applyBorder="1" applyAlignment="1" applyProtection="1">
      <alignment horizontal="center"/>
      <protection/>
    </xf>
    <xf numFmtId="164" fontId="0" fillId="7" borderId="0" xfId="0" applyNumberForma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1" fontId="0" fillId="5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5" fontId="0" fillId="5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9" borderId="0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 horizontal="center"/>
      <protection/>
    </xf>
    <xf numFmtId="0" fontId="0" fillId="13" borderId="0" xfId="0" applyFill="1" applyBorder="1" applyAlignment="1" applyProtection="1">
      <alignment horizontal="center"/>
      <protection/>
    </xf>
    <xf numFmtId="0" fontId="0" fillId="14" borderId="0" xfId="0" applyFill="1" applyBorder="1" applyAlignment="1" applyProtection="1">
      <alignment horizontal="center"/>
      <protection/>
    </xf>
    <xf numFmtId="0" fontId="0" fillId="15" borderId="0" xfId="0" applyFill="1" applyBorder="1" applyAlignment="1" applyProtection="1">
      <alignment horizontal="center"/>
      <protection/>
    </xf>
    <xf numFmtId="0" fontId="0" fillId="16" borderId="0" xfId="0" applyFill="1" applyBorder="1" applyAlignment="1" applyProtection="1">
      <alignment horizontal="center"/>
      <protection/>
    </xf>
    <xf numFmtId="0" fontId="0" fillId="17" borderId="0" xfId="0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5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0" fillId="3" borderId="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8" borderId="13" xfId="0" applyFont="1" applyFill="1" applyBorder="1" applyAlignment="1" applyProtection="1">
      <alignment/>
      <protection/>
    </xf>
    <xf numFmtId="2" fontId="0" fillId="8" borderId="10" xfId="0" applyNumberFormat="1" applyFill="1" applyBorder="1" applyAlignment="1" applyProtection="1">
      <alignment horizontal="center"/>
      <protection/>
    </xf>
    <xf numFmtId="0" fontId="0" fillId="9" borderId="13" xfId="0" applyFill="1" applyBorder="1" applyAlignment="1" applyProtection="1">
      <alignment/>
      <protection/>
    </xf>
    <xf numFmtId="0" fontId="1" fillId="9" borderId="13" xfId="0" applyFont="1" applyFill="1" applyBorder="1" applyAlignment="1" applyProtection="1">
      <alignment/>
      <protection/>
    </xf>
    <xf numFmtId="2" fontId="0" fillId="9" borderId="10" xfId="0" applyNumberFormat="1" applyFill="1" applyBorder="1" applyAlignment="1" applyProtection="1">
      <alignment horizontal="center"/>
      <protection/>
    </xf>
    <xf numFmtId="0" fontId="0" fillId="10" borderId="13" xfId="0" applyFill="1" applyBorder="1" applyAlignment="1" applyProtection="1">
      <alignment/>
      <protection/>
    </xf>
    <xf numFmtId="0" fontId="1" fillId="10" borderId="13" xfId="0" applyFont="1" applyFill="1" applyBorder="1" applyAlignment="1" applyProtection="1">
      <alignment/>
      <protection/>
    </xf>
    <xf numFmtId="2" fontId="0" fillId="10" borderId="10" xfId="0" applyNumberFormat="1" applyFill="1" applyBorder="1" applyAlignment="1" applyProtection="1">
      <alignment horizontal="center"/>
      <protection/>
    </xf>
    <xf numFmtId="0" fontId="0" fillId="11" borderId="13" xfId="0" applyFill="1" applyBorder="1" applyAlignment="1" applyProtection="1">
      <alignment/>
      <protection/>
    </xf>
    <xf numFmtId="0" fontId="1" fillId="11" borderId="13" xfId="0" applyFont="1" applyFill="1" applyBorder="1" applyAlignment="1" applyProtection="1">
      <alignment/>
      <protection/>
    </xf>
    <xf numFmtId="2" fontId="0" fillId="11" borderId="10" xfId="0" applyNumberFormat="1" applyFill="1" applyBorder="1" applyAlignment="1" applyProtection="1">
      <alignment horizontal="center"/>
      <protection/>
    </xf>
    <xf numFmtId="0" fontId="0" fillId="12" borderId="13" xfId="0" applyFill="1" applyBorder="1" applyAlignment="1" applyProtection="1">
      <alignment/>
      <protection/>
    </xf>
    <xf numFmtId="0" fontId="1" fillId="12" borderId="13" xfId="0" applyFont="1" applyFill="1" applyBorder="1" applyAlignment="1" applyProtection="1">
      <alignment/>
      <protection/>
    </xf>
    <xf numFmtId="2" fontId="0" fillId="12" borderId="10" xfId="0" applyNumberFormat="1" applyFill="1" applyBorder="1" applyAlignment="1" applyProtection="1">
      <alignment horizontal="center"/>
      <protection/>
    </xf>
    <xf numFmtId="0" fontId="0" fillId="13" borderId="13" xfId="0" applyFill="1" applyBorder="1" applyAlignment="1" applyProtection="1">
      <alignment/>
      <protection/>
    </xf>
    <xf numFmtId="0" fontId="1" fillId="13" borderId="13" xfId="0" applyFont="1" applyFill="1" applyBorder="1" applyAlignment="1" applyProtection="1">
      <alignment/>
      <protection/>
    </xf>
    <xf numFmtId="2" fontId="0" fillId="13" borderId="10" xfId="0" applyNumberFormat="1" applyFill="1" applyBorder="1" applyAlignment="1" applyProtection="1">
      <alignment horizontal="center"/>
      <protection/>
    </xf>
    <xf numFmtId="0" fontId="0" fillId="14" borderId="13" xfId="0" applyFill="1" applyBorder="1" applyAlignment="1" applyProtection="1">
      <alignment/>
      <protection/>
    </xf>
    <xf numFmtId="0" fontId="1" fillId="14" borderId="13" xfId="0" applyFont="1" applyFill="1" applyBorder="1" applyAlignment="1" applyProtection="1">
      <alignment/>
      <protection/>
    </xf>
    <xf numFmtId="2" fontId="0" fillId="14" borderId="10" xfId="0" applyNumberFormat="1" applyFill="1" applyBorder="1" applyAlignment="1" applyProtection="1">
      <alignment horizontal="center"/>
      <protection/>
    </xf>
    <xf numFmtId="0" fontId="0" fillId="15" borderId="13" xfId="0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/>
      <protection/>
    </xf>
    <xf numFmtId="2" fontId="0" fillId="15" borderId="10" xfId="0" applyNumberFormat="1" applyFill="1" applyBorder="1" applyAlignment="1" applyProtection="1">
      <alignment horizontal="center"/>
      <protection/>
    </xf>
    <xf numFmtId="0" fontId="0" fillId="16" borderId="13" xfId="0" applyFill="1" applyBorder="1" applyAlignment="1" applyProtection="1">
      <alignment/>
      <protection/>
    </xf>
    <xf numFmtId="0" fontId="1" fillId="16" borderId="13" xfId="0" applyFont="1" applyFill="1" applyBorder="1" applyAlignment="1" applyProtection="1">
      <alignment/>
      <protection/>
    </xf>
    <xf numFmtId="2" fontId="0" fillId="16" borderId="10" xfId="0" applyNumberFormat="1" applyFill="1" applyBorder="1" applyAlignment="1" applyProtection="1">
      <alignment horizontal="center"/>
      <protection/>
    </xf>
    <xf numFmtId="0" fontId="0" fillId="17" borderId="13" xfId="0" applyFill="1" applyBorder="1" applyAlignment="1" applyProtection="1">
      <alignment/>
      <protection/>
    </xf>
    <xf numFmtId="0" fontId="1" fillId="17" borderId="13" xfId="0" applyFont="1" applyFill="1" applyBorder="1" applyAlignment="1" applyProtection="1">
      <alignment/>
      <protection/>
    </xf>
    <xf numFmtId="2" fontId="0" fillId="17" borderId="10" xfId="0" applyNumberFormat="1" applyFill="1" applyBorder="1" applyAlignment="1" applyProtection="1">
      <alignment horizontal="center"/>
      <protection/>
    </xf>
    <xf numFmtId="0" fontId="0" fillId="17" borderId="14" xfId="0" applyFill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65" fontId="0" fillId="5" borderId="8" xfId="0" applyNumberFormat="1" applyFill="1" applyBorder="1" applyAlignment="1" applyProtection="1">
      <alignment horizontal="center"/>
      <protection/>
    </xf>
    <xf numFmtId="2" fontId="0" fillId="5" borderId="8" xfId="0" applyNumberFormat="1" applyFill="1" applyBorder="1" applyAlignment="1" applyProtection="1">
      <alignment horizontal="center"/>
      <protection/>
    </xf>
    <xf numFmtId="1" fontId="0" fillId="5" borderId="8" xfId="0" applyNumberFormat="1" applyFill="1" applyBorder="1" applyAlignment="1" applyProtection="1">
      <alignment horizontal="center"/>
      <protection/>
    </xf>
    <xf numFmtId="164" fontId="0" fillId="5" borderId="8" xfId="0" applyNumberFormat="1" applyFill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1" fillId="6" borderId="0" xfId="0" applyFont="1" applyFill="1" applyBorder="1" applyAlignment="1" applyProtection="1">
      <alignment/>
      <protection/>
    </xf>
    <xf numFmtId="15" fontId="1" fillId="3" borderId="4" xfId="0" applyNumberFormat="1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170" fontId="1" fillId="6" borderId="4" xfId="0" applyNumberFormat="1" applyFont="1" applyFill="1" applyBorder="1" applyAlignment="1" applyProtection="1">
      <alignment horizontal="left"/>
      <protection/>
    </xf>
    <xf numFmtId="0" fontId="0" fillId="6" borderId="3" xfId="0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center"/>
      <protection/>
    </xf>
    <xf numFmtId="0" fontId="0" fillId="3" borderId="17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18" borderId="9" xfId="0" applyFill="1" applyBorder="1" applyAlignment="1" applyProtection="1">
      <alignment horizontal="center"/>
      <protection/>
    </xf>
    <xf numFmtId="0" fontId="0" fillId="18" borderId="19" xfId="0" applyFill="1" applyBorder="1" applyAlignment="1" applyProtection="1">
      <alignment horizontal="center"/>
      <protection/>
    </xf>
    <xf numFmtId="0" fontId="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64" fontId="0" fillId="18" borderId="19" xfId="0" applyNumberForma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 locked="0"/>
    </xf>
    <xf numFmtId="165" fontId="0" fillId="4" borderId="0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165" fontId="0" fillId="4" borderId="15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90</xdr:row>
      <xdr:rowOff>104775</xdr:rowOff>
    </xdr:from>
    <xdr:to>
      <xdr:col>18</xdr:col>
      <xdr:colOff>561975</xdr:colOff>
      <xdr:row>100</xdr:row>
      <xdr:rowOff>0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5135225"/>
          <a:ext cx="5457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75</xdr:row>
      <xdr:rowOff>104775</xdr:rowOff>
    </xdr:from>
    <xdr:to>
      <xdr:col>18</xdr:col>
      <xdr:colOff>381000</xdr:colOff>
      <xdr:row>85</xdr:row>
      <xdr:rowOff>38100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2620625"/>
          <a:ext cx="51435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27</xdr:row>
      <xdr:rowOff>180975</xdr:rowOff>
    </xdr:from>
    <xdr:to>
      <xdr:col>18</xdr:col>
      <xdr:colOff>523875</xdr:colOff>
      <xdr:row>65</xdr:row>
      <xdr:rowOff>9525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6296025"/>
          <a:ext cx="53816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1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16.140625" style="5" customWidth="1"/>
    <col min="2" max="2" width="8.00390625" style="5" customWidth="1"/>
    <col min="3" max="5" width="9.140625" style="5" customWidth="1"/>
    <col min="6" max="6" width="8.421875" style="5" customWidth="1"/>
    <col min="7" max="9" width="9.140625" style="5" customWidth="1"/>
    <col min="10" max="10" width="10.140625" style="5" customWidth="1"/>
    <col min="11" max="11" width="0" style="5" hidden="1" customWidth="1"/>
    <col min="12" max="15" width="9.140625" style="5" customWidth="1"/>
    <col min="16" max="16" width="10.421875" style="5" customWidth="1"/>
    <col min="17" max="17" width="19.421875" style="5" customWidth="1"/>
    <col min="18" max="16384" width="9.140625" style="5" customWidth="1"/>
  </cols>
  <sheetData>
    <row r="1" spans="1:24" ht="12.75">
      <c r="A1" s="159">
        <v>39127</v>
      </c>
      <c r="B1" s="61"/>
      <c r="C1" s="48"/>
      <c r="D1" s="153" t="s">
        <v>56</v>
      </c>
      <c r="E1" s="48"/>
      <c r="F1" s="48"/>
      <c r="G1" s="48"/>
      <c r="H1" s="48"/>
      <c r="I1" s="48"/>
      <c r="J1" s="48"/>
      <c r="K1" s="48"/>
      <c r="L1" s="48"/>
      <c r="M1" s="48"/>
      <c r="N1" s="61"/>
      <c r="O1" s="61"/>
      <c r="P1" s="61"/>
      <c r="Q1" s="61"/>
      <c r="R1" s="61"/>
      <c r="S1" s="160"/>
      <c r="T1"/>
      <c r="U1"/>
      <c r="V1"/>
      <c r="W1"/>
      <c r="X1"/>
    </row>
    <row r="2" spans="2:24" ht="15.75">
      <c r="B2" s="13"/>
      <c r="C2" s="149"/>
      <c r="D2" s="13"/>
      <c r="E2" s="13"/>
      <c r="F2" s="13"/>
      <c r="G2" s="13"/>
      <c r="H2" s="149" t="s">
        <v>89</v>
      </c>
      <c r="I2" s="13"/>
      <c r="J2" s="13"/>
      <c r="K2" s="27" t="s">
        <v>73</v>
      </c>
      <c r="L2" s="13"/>
      <c r="M2" s="13"/>
      <c r="N2" s="13"/>
      <c r="O2" s="13"/>
      <c r="P2" s="13"/>
      <c r="Q2" s="13"/>
      <c r="R2" s="13"/>
      <c r="S2" s="14"/>
      <c r="T2"/>
      <c r="U2"/>
      <c r="V2"/>
      <c r="W2"/>
      <c r="X2"/>
    </row>
    <row r="3" spans="1:24" ht="15.75">
      <c r="A3" s="18" t="s">
        <v>88</v>
      </c>
      <c r="B3" s="13"/>
      <c r="C3" s="149"/>
      <c r="D3" s="13"/>
      <c r="E3" s="13"/>
      <c r="F3" s="13"/>
      <c r="G3" s="13"/>
      <c r="H3" s="13"/>
      <c r="I3" s="13"/>
      <c r="J3" s="13"/>
      <c r="K3" s="27"/>
      <c r="L3" s="13"/>
      <c r="M3" s="13"/>
      <c r="N3" s="13"/>
      <c r="O3" s="13"/>
      <c r="P3" s="13"/>
      <c r="Q3" s="13"/>
      <c r="R3" s="13"/>
      <c r="S3" s="14"/>
      <c r="T3"/>
      <c r="U3"/>
      <c r="V3"/>
      <c r="W3"/>
      <c r="X3"/>
    </row>
    <row r="4" spans="1:24" ht="15.75">
      <c r="A4" s="154" t="s">
        <v>77</v>
      </c>
      <c r="B4" s="13"/>
      <c r="C4" s="149"/>
      <c r="D4" s="13"/>
      <c r="E4" s="13"/>
      <c r="F4" s="13"/>
      <c r="G4" s="13"/>
      <c r="H4" s="13"/>
      <c r="I4" s="13"/>
      <c r="J4" s="13"/>
      <c r="K4" s="27"/>
      <c r="L4" s="13"/>
      <c r="M4" s="13"/>
      <c r="N4" s="13"/>
      <c r="O4" s="13"/>
      <c r="P4" s="13"/>
      <c r="Q4" s="13"/>
      <c r="R4" s="13"/>
      <c r="S4" s="14"/>
      <c r="T4"/>
      <c r="U4"/>
      <c r="V4"/>
      <c r="W4"/>
      <c r="X4"/>
    </row>
    <row r="5" spans="1:24" ht="16.5" thickBot="1">
      <c r="A5" s="154"/>
      <c r="B5" s="13"/>
      <c r="C5" s="149"/>
      <c r="D5" s="13"/>
      <c r="E5" s="13"/>
      <c r="F5" s="13"/>
      <c r="G5" s="13"/>
      <c r="H5" s="13"/>
      <c r="I5" s="13"/>
      <c r="J5" s="13"/>
      <c r="K5" s="27"/>
      <c r="L5" s="13"/>
      <c r="M5" s="13"/>
      <c r="N5" s="13"/>
      <c r="O5" s="13"/>
      <c r="P5" s="13"/>
      <c r="Q5" s="13"/>
      <c r="R5" s="13"/>
      <c r="S5" s="14"/>
      <c r="T5"/>
      <c r="U5"/>
      <c r="V5"/>
      <c r="W5"/>
      <c r="X5"/>
    </row>
    <row r="6" spans="1:24" ht="15.75">
      <c r="A6" s="154" t="s">
        <v>73</v>
      </c>
      <c r="B6" s="150" t="s">
        <v>67</v>
      </c>
      <c r="C6" s="53"/>
      <c r="D6" s="54"/>
      <c r="E6" s="54"/>
      <c r="F6" s="54"/>
      <c r="G6" s="55"/>
      <c r="H6" s="13"/>
      <c r="I6" s="149" t="s">
        <v>92</v>
      </c>
      <c r="J6" s="13"/>
      <c r="K6" s="27"/>
      <c r="L6" s="13"/>
      <c r="M6" s="13"/>
      <c r="N6" s="13"/>
      <c r="O6" s="13"/>
      <c r="P6" s="13"/>
      <c r="Q6" s="13"/>
      <c r="R6" s="13"/>
      <c r="S6" s="14"/>
      <c r="T6"/>
      <c r="U6"/>
      <c r="V6"/>
      <c r="W6"/>
      <c r="X6"/>
    </row>
    <row r="7" spans="1:24" ht="15.75">
      <c r="A7" s="154"/>
      <c r="B7" s="157" t="s">
        <v>93</v>
      </c>
      <c r="C7" s="155"/>
      <c r="D7" s="156"/>
      <c r="E7" s="156"/>
      <c r="F7" s="156"/>
      <c r="G7" s="158"/>
      <c r="H7" s="13"/>
      <c r="I7" s="182" t="s">
        <v>90</v>
      </c>
      <c r="J7" s="13"/>
      <c r="K7" s="27"/>
      <c r="L7" s="13"/>
      <c r="M7" s="13"/>
      <c r="N7" s="13"/>
      <c r="O7" s="13"/>
      <c r="P7" s="13"/>
      <c r="Q7" s="13"/>
      <c r="R7" s="13"/>
      <c r="S7" s="14"/>
      <c r="T7"/>
      <c r="U7"/>
      <c r="V7"/>
      <c r="W7"/>
      <c r="X7"/>
    </row>
    <row r="8" spans="1:24" ht="15.75">
      <c r="A8" s="81"/>
      <c r="B8" s="157" t="s">
        <v>76</v>
      </c>
      <c r="C8" s="156"/>
      <c r="D8" s="156"/>
      <c r="E8" s="156"/>
      <c r="F8" s="156"/>
      <c r="G8" s="158"/>
      <c r="H8" s="13"/>
      <c r="I8" s="182" t="s">
        <v>91</v>
      </c>
      <c r="K8" s="27" t="s">
        <v>74</v>
      </c>
      <c r="L8" s="13"/>
      <c r="M8" s="13"/>
      <c r="N8" s="13"/>
      <c r="O8" s="13"/>
      <c r="P8" s="13"/>
      <c r="Q8" s="13"/>
      <c r="R8" s="13"/>
      <c r="S8" s="14"/>
      <c r="T8"/>
      <c r="U8"/>
      <c r="V8"/>
      <c r="W8"/>
      <c r="X8"/>
    </row>
    <row r="9" spans="1:24" ht="15.75">
      <c r="A9" s="12"/>
      <c r="B9" s="157"/>
      <c r="C9" s="155" t="s">
        <v>68</v>
      </c>
      <c r="D9" s="156"/>
      <c r="E9" s="156"/>
      <c r="F9" s="156"/>
      <c r="G9" s="158"/>
      <c r="H9" s="13"/>
      <c r="I9" s="182" t="s">
        <v>94</v>
      </c>
      <c r="J9" s="13"/>
      <c r="K9" s="27" t="s">
        <v>75</v>
      </c>
      <c r="L9" s="13"/>
      <c r="M9" s="13"/>
      <c r="N9" s="13"/>
      <c r="O9" s="13"/>
      <c r="P9" s="13"/>
      <c r="Q9" s="13"/>
      <c r="R9" s="13"/>
      <c r="S9" s="14"/>
      <c r="T9"/>
      <c r="U9"/>
      <c r="V9"/>
      <c r="W9"/>
      <c r="X9"/>
    </row>
    <row r="10" spans="1:24" ht="51.75" customHeight="1">
      <c r="A10" s="12"/>
      <c r="B10" s="57" t="s">
        <v>12</v>
      </c>
      <c r="C10" s="7" t="s">
        <v>49</v>
      </c>
      <c r="D10" s="7" t="s">
        <v>50</v>
      </c>
      <c r="E10" s="7" t="s">
        <v>54</v>
      </c>
      <c r="F10" s="7" t="s">
        <v>55</v>
      </c>
      <c r="G10" s="56" t="s">
        <v>51</v>
      </c>
      <c r="H10" s="13"/>
      <c r="I10" s="63"/>
      <c r="J10" s="13"/>
      <c r="K10" s="96"/>
      <c r="L10" s="13"/>
      <c r="M10" s="13"/>
      <c r="N10" s="13"/>
      <c r="O10" s="13"/>
      <c r="P10" s="13"/>
      <c r="Q10" s="13"/>
      <c r="S10" s="14"/>
      <c r="T10"/>
      <c r="U10"/>
      <c r="V10"/>
      <c r="W10"/>
      <c r="X10"/>
    </row>
    <row r="11" spans="1:24" ht="15">
      <c r="A11" s="12"/>
      <c r="B11" s="57">
        <v>20</v>
      </c>
      <c r="C11" s="176"/>
      <c r="D11" s="176"/>
      <c r="E11" s="176"/>
      <c r="F11" s="177"/>
      <c r="G11" s="178"/>
      <c r="H11" s="13"/>
      <c r="I11" s="44" t="s">
        <v>65</v>
      </c>
      <c r="J11" s="13"/>
      <c r="K11" s="13"/>
      <c r="L11" s="13"/>
      <c r="M11" s="13"/>
      <c r="N11" s="13"/>
      <c r="O11" s="13"/>
      <c r="P11" s="13"/>
      <c r="Q11" s="13"/>
      <c r="R11" s="161" t="s">
        <v>87</v>
      </c>
      <c r="S11" s="14"/>
      <c r="T11"/>
      <c r="U11"/>
      <c r="V11"/>
      <c r="W11"/>
      <c r="X11"/>
    </row>
    <row r="12" spans="1:24" ht="14.25">
      <c r="A12" s="12"/>
      <c r="B12" s="57">
        <v>17</v>
      </c>
      <c r="C12" s="176"/>
      <c r="D12" s="176"/>
      <c r="E12" s="176"/>
      <c r="F12" s="177"/>
      <c r="G12" s="178"/>
      <c r="H12" s="13"/>
      <c r="I12" s="42" t="s">
        <v>46</v>
      </c>
      <c r="J12" s="13"/>
      <c r="K12" s="13"/>
      <c r="L12" s="13"/>
      <c r="M12" s="13"/>
      <c r="N12" s="13"/>
      <c r="O12" s="13"/>
      <c r="P12" s="13"/>
      <c r="Q12" s="13"/>
      <c r="R12" s="17" t="s">
        <v>58</v>
      </c>
      <c r="S12" s="104" t="s">
        <v>59</v>
      </c>
      <c r="T12"/>
      <c r="U12"/>
      <c r="V12"/>
      <c r="W12"/>
      <c r="X12"/>
    </row>
    <row r="13" spans="1:24" ht="14.25">
      <c r="A13" s="12"/>
      <c r="B13" s="57">
        <v>15</v>
      </c>
      <c r="C13" s="176"/>
      <c r="D13" s="176"/>
      <c r="E13" s="176"/>
      <c r="F13" s="177"/>
      <c r="G13" s="178"/>
      <c r="H13" s="13"/>
      <c r="I13" s="43" t="s">
        <v>44</v>
      </c>
      <c r="J13" s="13"/>
      <c r="K13" s="13"/>
      <c r="L13" s="13"/>
      <c r="M13" s="13"/>
      <c r="N13" s="13"/>
      <c r="O13" s="13"/>
      <c r="P13" s="13"/>
      <c r="Q13" s="13"/>
      <c r="R13" s="170">
        <v>10</v>
      </c>
      <c r="S13" s="171">
        <v>0.102</v>
      </c>
      <c r="T13"/>
      <c r="U13"/>
      <c r="V13"/>
      <c r="W13"/>
      <c r="X13"/>
    </row>
    <row r="14" spans="1:24" ht="14.25">
      <c r="A14" s="12"/>
      <c r="B14" s="57">
        <v>12</v>
      </c>
      <c r="C14" s="176"/>
      <c r="D14" s="176"/>
      <c r="E14" s="176"/>
      <c r="F14" s="177"/>
      <c r="G14" s="178"/>
      <c r="H14" s="13"/>
      <c r="I14" s="43" t="s">
        <v>82</v>
      </c>
      <c r="J14" s="13"/>
      <c r="K14" s="13"/>
      <c r="L14" s="13"/>
      <c r="M14" s="13"/>
      <c r="N14" s="13"/>
      <c r="O14" s="13"/>
      <c r="P14" s="13"/>
      <c r="Q14" s="13"/>
      <c r="R14" s="170">
        <v>12</v>
      </c>
      <c r="S14" s="171">
        <v>0.081</v>
      </c>
      <c r="T14"/>
      <c r="U14"/>
      <c r="V14"/>
      <c r="W14"/>
      <c r="X14"/>
    </row>
    <row r="15" spans="1:24" ht="15" thickBot="1">
      <c r="A15" s="12"/>
      <c r="B15" s="58">
        <v>10</v>
      </c>
      <c r="C15" s="179"/>
      <c r="D15" s="179"/>
      <c r="E15" s="179"/>
      <c r="F15" s="180"/>
      <c r="G15" s="181"/>
      <c r="H15" s="13"/>
      <c r="I15" s="43" t="s">
        <v>45</v>
      </c>
      <c r="J15" s="13"/>
      <c r="K15" s="13"/>
      <c r="L15" s="13"/>
      <c r="M15" s="13"/>
      <c r="N15" s="13"/>
      <c r="O15" s="13"/>
      <c r="P15" s="13"/>
      <c r="Q15" s="13"/>
      <c r="R15" s="170">
        <v>14</v>
      </c>
      <c r="S15" s="171">
        <v>0.064</v>
      </c>
      <c r="T15"/>
      <c r="U15"/>
      <c r="V15"/>
      <c r="W15"/>
      <c r="X15"/>
    </row>
    <row r="16" spans="1:24" ht="14.25">
      <c r="A16" s="59"/>
      <c r="B16" s="16"/>
      <c r="C16" s="52"/>
      <c r="D16" s="16"/>
      <c r="E16" s="16"/>
      <c r="F16" s="16"/>
      <c r="G16" s="16"/>
      <c r="H16" s="13"/>
      <c r="I16" s="43" t="s">
        <v>47</v>
      </c>
      <c r="J16" s="13"/>
      <c r="K16" s="13"/>
      <c r="L16" s="13"/>
      <c r="M16" s="13"/>
      <c r="N16" s="13"/>
      <c r="O16" s="13"/>
      <c r="P16" s="13"/>
      <c r="Q16" s="13"/>
      <c r="R16" s="170">
        <v>16</v>
      </c>
      <c r="S16" s="171">
        <v>0.051</v>
      </c>
      <c r="T16"/>
      <c r="U16"/>
      <c r="V16"/>
      <c r="W16"/>
      <c r="X16"/>
    </row>
    <row r="17" spans="1:24" ht="15" thickBot="1">
      <c r="A17" s="12"/>
      <c r="B17" s="13"/>
      <c r="C17" s="13"/>
      <c r="D17" s="13"/>
      <c r="E17" s="13"/>
      <c r="F17" s="13"/>
      <c r="G17" s="13"/>
      <c r="H17" s="13"/>
      <c r="I17" s="62" t="s">
        <v>48</v>
      </c>
      <c r="J17" s="13"/>
      <c r="K17" s="13"/>
      <c r="L17" s="13"/>
      <c r="M17" s="13"/>
      <c r="N17" s="13"/>
      <c r="O17" s="13"/>
      <c r="P17" s="13"/>
      <c r="Q17" s="13"/>
      <c r="R17" s="170">
        <v>18</v>
      </c>
      <c r="S17" s="175">
        <v>0.04</v>
      </c>
      <c r="T17"/>
      <c r="U17"/>
      <c r="V17"/>
      <c r="W17"/>
      <c r="X17"/>
    </row>
    <row r="18" spans="1:24" ht="14.25">
      <c r="A18" s="12"/>
      <c r="B18" s="8"/>
      <c r="C18" s="9" t="s">
        <v>7</v>
      </c>
      <c r="D18" s="10"/>
      <c r="E18" s="10"/>
      <c r="F18" s="10"/>
      <c r="G18" s="11"/>
      <c r="H18" s="13"/>
      <c r="I18" s="43" t="s">
        <v>83</v>
      </c>
      <c r="J18" s="13"/>
      <c r="K18" s="13"/>
      <c r="L18" s="13"/>
      <c r="M18" s="13"/>
      <c r="N18" s="13"/>
      <c r="O18" s="13"/>
      <c r="P18" s="13"/>
      <c r="Q18" s="13"/>
      <c r="R18" s="170">
        <v>20</v>
      </c>
      <c r="S18" s="171">
        <v>0.032</v>
      </c>
      <c r="T18"/>
      <c r="U18"/>
      <c r="V18"/>
      <c r="W18"/>
      <c r="X18"/>
    </row>
    <row r="19" spans="1:24" ht="14.25">
      <c r="A19" s="12"/>
      <c r="B19" s="12"/>
      <c r="C19" s="13"/>
      <c r="D19" s="13"/>
      <c r="E19" s="13"/>
      <c r="F19" s="13"/>
      <c r="G19" s="14"/>
      <c r="H19" s="13"/>
      <c r="I19" s="43" t="s">
        <v>84</v>
      </c>
      <c r="J19" s="13"/>
      <c r="K19" s="13"/>
      <c r="L19" s="13"/>
      <c r="M19" s="13"/>
      <c r="N19" s="13"/>
      <c r="O19" s="13"/>
      <c r="P19" s="13"/>
      <c r="Q19" s="13"/>
      <c r="R19" s="13"/>
      <c r="S19" s="14"/>
      <c r="T19"/>
      <c r="U19"/>
      <c r="V19"/>
      <c r="W19"/>
      <c r="X19"/>
    </row>
    <row r="20" spans="1:24" ht="14.25">
      <c r="A20" s="12"/>
      <c r="B20" s="15" t="s">
        <v>29</v>
      </c>
      <c r="C20" s="16"/>
      <c r="D20" s="13"/>
      <c r="E20" s="13"/>
      <c r="F20" s="50">
        <v>1.5</v>
      </c>
      <c r="G20" s="14"/>
      <c r="H20" s="13"/>
      <c r="I20" s="43" t="s">
        <v>85</v>
      </c>
      <c r="J20" s="13"/>
      <c r="K20" s="13"/>
      <c r="L20" s="13"/>
      <c r="M20" s="13"/>
      <c r="N20" s="13"/>
      <c r="O20" s="13"/>
      <c r="P20" s="13"/>
      <c r="Q20" s="13"/>
      <c r="R20" s="13"/>
      <c r="S20" s="14"/>
      <c r="T20"/>
      <c r="U20"/>
      <c r="V20"/>
      <c r="W20"/>
      <c r="X20"/>
    </row>
    <row r="21" spans="1:24" ht="14.25">
      <c r="A21" s="12"/>
      <c r="B21" s="18" t="s">
        <v>53</v>
      </c>
      <c r="C21" s="17"/>
      <c r="D21" s="13"/>
      <c r="E21" s="13"/>
      <c r="F21" s="51">
        <v>0.051</v>
      </c>
      <c r="G21" s="14"/>
      <c r="H21" s="13"/>
      <c r="I21" s="43" t="s">
        <v>60</v>
      </c>
      <c r="J21" s="13"/>
      <c r="K21" s="13"/>
      <c r="L21" s="13"/>
      <c r="M21" s="13"/>
      <c r="N21" s="13"/>
      <c r="O21" s="13"/>
      <c r="P21" s="13"/>
      <c r="Q21" s="13"/>
      <c r="R21" s="13"/>
      <c r="S21" s="14"/>
      <c r="T21"/>
      <c r="U21"/>
      <c r="V21"/>
      <c r="W21"/>
      <c r="X21"/>
    </row>
    <row r="22" spans="1:24" ht="14.25">
      <c r="A22" s="12"/>
      <c r="B22" s="18" t="s">
        <v>52</v>
      </c>
      <c r="C22" s="16"/>
      <c r="D22" s="13"/>
      <c r="E22" s="13"/>
      <c r="F22" s="49">
        <v>360</v>
      </c>
      <c r="G22" s="19"/>
      <c r="H22" s="13"/>
      <c r="I22" s="43" t="s">
        <v>86</v>
      </c>
      <c r="J22" s="13"/>
      <c r="K22" s="13"/>
      <c r="L22" s="13"/>
      <c r="M22" s="13"/>
      <c r="N22" s="13"/>
      <c r="O22" s="13"/>
      <c r="P22" s="13"/>
      <c r="Q22" s="13"/>
      <c r="R22" s="13"/>
      <c r="S22" s="14"/>
      <c r="T22"/>
      <c r="U22"/>
      <c r="V22"/>
      <c r="W22"/>
      <c r="X22"/>
    </row>
    <row r="23" spans="1:24" ht="60" customHeight="1">
      <c r="A23" s="12"/>
      <c r="B23" s="59" t="s">
        <v>12</v>
      </c>
      <c r="C23" s="21" t="s">
        <v>49</v>
      </c>
      <c r="D23" s="21" t="s">
        <v>50</v>
      </c>
      <c r="E23" s="21" t="s">
        <v>54</v>
      </c>
      <c r="F23" s="21" t="s">
        <v>55</v>
      </c>
      <c r="G23" s="22" t="s">
        <v>51</v>
      </c>
      <c r="H23" s="13"/>
      <c r="I23" s="103" t="s">
        <v>57</v>
      </c>
      <c r="J23" s="63"/>
      <c r="K23" s="13"/>
      <c r="L23" s="13"/>
      <c r="M23" s="13"/>
      <c r="N23" s="13"/>
      <c r="O23" s="13"/>
      <c r="P23" s="13"/>
      <c r="Q23" s="13"/>
      <c r="R23" s="13"/>
      <c r="S23" s="14"/>
      <c r="T23"/>
      <c r="U23"/>
      <c r="V23"/>
      <c r="W23"/>
      <c r="X23"/>
    </row>
    <row r="24" spans="1:24" ht="14.25">
      <c r="A24" s="12"/>
      <c r="B24" s="59">
        <v>1</v>
      </c>
      <c r="C24" s="98">
        <v>217.5</v>
      </c>
      <c r="D24" s="97">
        <v>7.7</v>
      </c>
      <c r="E24" s="97">
        <v>221.9</v>
      </c>
      <c r="F24" s="98">
        <v>5</v>
      </c>
      <c r="G24" s="99">
        <v>38</v>
      </c>
      <c r="H24" s="13"/>
      <c r="I24" s="45" t="s">
        <v>66</v>
      </c>
      <c r="J24" s="13"/>
      <c r="K24" s="13"/>
      <c r="L24" s="13"/>
      <c r="M24" s="13"/>
      <c r="N24" s="13"/>
      <c r="O24" s="13"/>
      <c r="P24" s="28"/>
      <c r="Q24" s="13"/>
      <c r="R24" s="13"/>
      <c r="S24" s="14"/>
      <c r="T24"/>
      <c r="U24"/>
      <c r="V24"/>
      <c r="W24"/>
      <c r="X24"/>
    </row>
    <row r="25" spans="1:24" ht="14.25">
      <c r="A25" s="12"/>
      <c r="B25" s="59">
        <v>2</v>
      </c>
      <c r="C25" s="97">
        <v>168.6</v>
      </c>
      <c r="D25" s="97">
        <v>6.1</v>
      </c>
      <c r="E25" s="98">
        <v>172</v>
      </c>
      <c r="F25" s="98">
        <v>4</v>
      </c>
      <c r="G25" s="99">
        <v>23</v>
      </c>
      <c r="H25" s="13"/>
      <c r="I25" s="45" t="s">
        <v>72</v>
      </c>
      <c r="J25" s="13"/>
      <c r="K25" s="13"/>
      <c r="L25" s="13"/>
      <c r="M25" s="13"/>
      <c r="N25" s="13"/>
      <c r="O25" s="13"/>
      <c r="P25" s="13"/>
      <c r="Q25" s="13"/>
      <c r="R25" s="13"/>
      <c r="S25" s="14"/>
      <c r="T25"/>
      <c r="U25"/>
      <c r="V25"/>
      <c r="W25"/>
      <c r="X25"/>
    </row>
    <row r="26" spans="1:24" ht="14.25">
      <c r="A26" s="12"/>
      <c r="B26" s="59">
        <v>3</v>
      </c>
      <c r="C26" s="97">
        <v>144.3</v>
      </c>
      <c r="D26" s="97">
        <v>5.4</v>
      </c>
      <c r="E26" s="97">
        <v>147.5</v>
      </c>
      <c r="F26" s="98">
        <v>3.6</v>
      </c>
      <c r="G26" s="99">
        <v>18</v>
      </c>
      <c r="H26" s="13"/>
      <c r="I26" s="46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/>
      <c r="U26"/>
      <c r="V26"/>
      <c r="W26"/>
      <c r="X26"/>
    </row>
    <row r="27" spans="1:24" ht="14.25">
      <c r="A27" s="12"/>
      <c r="B27" s="59">
        <v>4</v>
      </c>
      <c r="C27" s="97">
        <v>122.6</v>
      </c>
      <c r="D27" s="97">
        <v>5.4</v>
      </c>
      <c r="E27" s="97">
        <v>125.1</v>
      </c>
      <c r="F27" s="98">
        <v>3.5</v>
      </c>
      <c r="G27" s="99">
        <v>13</v>
      </c>
      <c r="H27" s="13"/>
      <c r="I27" s="46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/>
      <c r="U27"/>
      <c r="V27"/>
      <c r="W27"/>
      <c r="X27"/>
    </row>
    <row r="28" spans="1:24" ht="15" thickBot="1">
      <c r="A28" s="12"/>
      <c r="B28" s="60">
        <v>5</v>
      </c>
      <c r="C28" s="100">
        <v>109.1</v>
      </c>
      <c r="D28" s="100">
        <v>5.6</v>
      </c>
      <c r="E28" s="100">
        <v>111.3</v>
      </c>
      <c r="F28" s="101">
        <v>3.6</v>
      </c>
      <c r="G28" s="102">
        <v>11</v>
      </c>
      <c r="H28" s="13"/>
      <c r="I28" s="46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/>
      <c r="U28"/>
      <c r="V28"/>
      <c r="W28"/>
      <c r="X28"/>
    </row>
    <row r="29" spans="1:24" ht="14.25">
      <c r="A29" s="64"/>
      <c r="B29" s="65"/>
      <c r="C29" s="65"/>
      <c r="D29" s="65"/>
      <c r="E29" s="65"/>
      <c r="F29" s="65"/>
      <c r="G29" s="65"/>
      <c r="H29" s="13"/>
      <c r="I29" s="42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/>
      <c r="U29"/>
      <c r="V29"/>
      <c r="W29"/>
      <c r="X29"/>
    </row>
    <row r="30" spans="1:24" ht="12.75" hidden="1">
      <c r="A30" s="12"/>
      <c r="B30" s="8"/>
      <c r="C30" s="9" t="s">
        <v>7</v>
      </c>
      <c r="D30" s="10"/>
      <c r="E30" s="10"/>
      <c r="F30" s="10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/>
      <c r="U30"/>
      <c r="V30"/>
      <c r="W30"/>
      <c r="X30"/>
    </row>
    <row r="31" spans="1:24" ht="12.75" hidden="1">
      <c r="A31" s="12"/>
      <c r="B31" s="12"/>
      <c r="C31" s="13"/>
      <c r="D31" s="13"/>
      <c r="E31" s="13"/>
      <c r="F31" s="13"/>
      <c r="G31" s="14"/>
      <c r="H31" s="13"/>
      <c r="I31" s="13"/>
      <c r="J31" s="13"/>
      <c r="K31" s="33" t="s">
        <v>19</v>
      </c>
      <c r="L31" s="23" t="s">
        <v>20</v>
      </c>
      <c r="M31" s="24">
        <v>60</v>
      </c>
      <c r="N31" s="13"/>
      <c r="O31" s="13"/>
      <c r="P31" s="13"/>
      <c r="Q31" s="13"/>
      <c r="R31" s="13"/>
      <c r="S31" s="14"/>
      <c r="T31"/>
      <c r="U31"/>
      <c r="V31"/>
      <c r="W31"/>
      <c r="X31"/>
    </row>
    <row r="32" spans="1:24" ht="12.75" hidden="1">
      <c r="A32" s="12"/>
      <c r="B32" s="15" t="s">
        <v>29</v>
      </c>
      <c r="C32" s="16"/>
      <c r="D32" s="13"/>
      <c r="E32" s="3">
        <f>F20</f>
        <v>1.5</v>
      </c>
      <c r="F32" s="16" t="s">
        <v>8</v>
      </c>
      <c r="G32" s="14"/>
      <c r="H32" s="13"/>
      <c r="I32" s="13"/>
      <c r="J32" s="13"/>
      <c r="K32" s="34" t="s">
        <v>21</v>
      </c>
      <c r="L32" s="13"/>
      <c r="M32" s="31">
        <f>SIN($M$31*PI()/180)</f>
        <v>0.8660254037844386</v>
      </c>
      <c r="N32" s="13"/>
      <c r="O32" s="13"/>
      <c r="P32" s="13"/>
      <c r="Q32" s="13"/>
      <c r="R32" s="13"/>
      <c r="S32" s="14"/>
      <c r="T32"/>
      <c r="U32"/>
      <c r="V32"/>
      <c r="W32"/>
      <c r="X32"/>
    </row>
    <row r="33" spans="1:24" ht="12.75" hidden="1">
      <c r="A33" s="12"/>
      <c r="B33" s="12"/>
      <c r="C33" s="17" t="s">
        <v>9</v>
      </c>
      <c r="D33" s="13"/>
      <c r="E33" s="4">
        <f>F21</f>
        <v>0.051</v>
      </c>
      <c r="F33" s="16" t="s">
        <v>8</v>
      </c>
      <c r="G33" s="14"/>
      <c r="H33" s="13"/>
      <c r="I33" s="13"/>
      <c r="J33" s="13"/>
      <c r="K33" s="34" t="s">
        <v>22</v>
      </c>
      <c r="L33" s="13"/>
      <c r="M33" s="31">
        <f>COS($M$31*PI()/180)</f>
        <v>0.5000000000000001</v>
      </c>
      <c r="N33" s="13"/>
      <c r="O33" s="13"/>
      <c r="P33" s="13"/>
      <c r="Q33" s="13"/>
      <c r="R33" s="13"/>
      <c r="S33" s="14"/>
      <c r="T33"/>
      <c r="U33"/>
      <c r="V33"/>
      <c r="W33"/>
      <c r="X33"/>
    </row>
    <row r="34" spans="1:24" ht="12.75" hidden="1">
      <c r="A34" s="12"/>
      <c r="B34" s="18" t="s">
        <v>10</v>
      </c>
      <c r="C34" s="16"/>
      <c r="D34" s="13"/>
      <c r="E34" s="2">
        <f>F22</f>
        <v>360</v>
      </c>
      <c r="F34" s="16" t="s">
        <v>11</v>
      </c>
      <c r="G34" s="19"/>
      <c r="H34" s="13"/>
      <c r="I34" s="13"/>
      <c r="J34" s="13"/>
      <c r="K34" s="34" t="s">
        <v>23</v>
      </c>
      <c r="L34" s="13"/>
      <c r="M34" s="31">
        <f>TAN($M$31*PI()/180)</f>
        <v>1.7320508075688767</v>
      </c>
      <c r="N34" s="13"/>
      <c r="O34" s="13"/>
      <c r="P34" s="13"/>
      <c r="Q34" s="13"/>
      <c r="R34" s="13"/>
      <c r="S34" s="14"/>
      <c r="T34"/>
      <c r="U34"/>
      <c r="V34"/>
      <c r="W34"/>
      <c r="X34"/>
    </row>
    <row r="35" spans="1:24" ht="51" hidden="1">
      <c r="A35" s="12"/>
      <c r="B35" s="20" t="s">
        <v>13</v>
      </c>
      <c r="C35" s="21" t="s">
        <v>14</v>
      </c>
      <c r="D35" s="21" t="s">
        <v>15</v>
      </c>
      <c r="E35" s="21" t="s">
        <v>16</v>
      </c>
      <c r="F35" s="21" t="s">
        <v>17</v>
      </c>
      <c r="G35" s="22" t="s">
        <v>18</v>
      </c>
      <c r="H35" s="13"/>
      <c r="I35" s="13"/>
      <c r="J35" s="13"/>
      <c r="K35" s="34" t="s">
        <v>24</v>
      </c>
      <c r="L35" s="13"/>
      <c r="M35" s="31">
        <f>SIN((90-$M$31)*PI()/180)</f>
        <v>0.49999999999999994</v>
      </c>
      <c r="N35" s="13"/>
      <c r="O35" s="13"/>
      <c r="P35" s="13"/>
      <c r="Q35" s="13"/>
      <c r="R35" s="13"/>
      <c r="S35" s="14"/>
      <c r="T35"/>
      <c r="U35"/>
      <c r="V35"/>
      <c r="W35"/>
      <c r="X35"/>
    </row>
    <row r="36" spans="1:24" ht="12.75" hidden="1">
      <c r="A36" s="12"/>
      <c r="B36" s="40">
        <f>$E$34+G36</f>
        <v>398</v>
      </c>
      <c r="C36" s="1">
        <f>C24</f>
        <v>217.5</v>
      </c>
      <c r="D36" s="1">
        <f>D24*0.866</f>
        <v>6.6682</v>
      </c>
      <c r="E36" s="1">
        <f>E24</f>
        <v>221.9</v>
      </c>
      <c r="F36" s="1">
        <f>F24*0.866</f>
        <v>4.33</v>
      </c>
      <c r="G36" s="37">
        <f>G24</f>
        <v>38</v>
      </c>
      <c r="H36" s="13"/>
      <c r="I36" s="63"/>
      <c r="J36" s="13"/>
      <c r="K36" s="34" t="s">
        <v>25</v>
      </c>
      <c r="L36" s="13"/>
      <c r="M36" s="31">
        <f>COS((90-$M$31)*PI()/180)</f>
        <v>0.8660254037844387</v>
      </c>
      <c r="N36" s="13"/>
      <c r="O36" s="13"/>
      <c r="P36" s="13"/>
      <c r="Q36" s="13"/>
      <c r="R36" s="13"/>
      <c r="S36" s="14"/>
      <c r="T36"/>
      <c r="U36"/>
      <c r="V36"/>
      <c r="W36"/>
      <c r="X36"/>
    </row>
    <row r="37" spans="1:24" ht="12.75" hidden="1">
      <c r="A37" s="12"/>
      <c r="B37" s="40">
        <f>$E$34+G37</f>
        <v>383</v>
      </c>
      <c r="C37" s="1">
        <f>C25</f>
        <v>168.6</v>
      </c>
      <c r="D37" s="1">
        <f>D25*0.866</f>
        <v>5.2825999999999995</v>
      </c>
      <c r="E37" s="1">
        <f>E25</f>
        <v>172</v>
      </c>
      <c r="F37" s="1">
        <f>F25*0.866</f>
        <v>3.464</v>
      </c>
      <c r="G37" s="37">
        <f>G25</f>
        <v>23</v>
      </c>
      <c r="H37" s="13"/>
      <c r="I37" s="63"/>
      <c r="J37" s="13"/>
      <c r="K37" s="35" t="s">
        <v>26</v>
      </c>
      <c r="L37" s="25"/>
      <c r="M37" s="32">
        <f>TAN((90-$M$31)*PI()/180)</f>
        <v>0.5773502691896257</v>
      </c>
      <c r="N37" s="13"/>
      <c r="O37" s="13"/>
      <c r="P37" s="13"/>
      <c r="Q37" s="13"/>
      <c r="R37" s="13"/>
      <c r="S37" s="14"/>
      <c r="T37"/>
      <c r="U37"/>
      <c r="V37"/>
      <c r="W37"/>
      <c r="X37"/>
    </row>
    <row r="38" spans="1:24" ht="12.75" hidden="1">
      <c r="A38" s="12"/>
      <c r="B38" s="40">
        <f>$E$34+G38</f>
        <v>378</v>
      </c>
      <c r="C38" s="1">
        <f>C26</f>
        <v>144.3</v>
      </c>
      <c r="D38" s="1">
        <f>D26*0.866</f>
        <v>4.6764</v>
      </c>
      <c r="E38" s="1">
        <f>E26</f>
        <v>147.5</v>
      </c>
      <c r="F38" s="1">
        <f>F26*0.866</f>
        <v>3.1176</v>
      </c>
      <c r="G38" s="37">
        <f>G26</f>
        <v>18</v>
      </c>
      <c r="H38" s="13"/>
      <c r="I38" s="6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/>
      <c r="U38"/>
      <c r="V38"/>
      <c r="W38"/>
      <c r="X38"/>
    </row>
    <row r="39" spans="1:24" ht="12.75" hidden="1">
      <c r="A39" s="12"/>
      <c r="B39" s="40">
        <f>$E$34+G39</f>
        <v>373</v>
      </c>
      <c r="C39" s="1">
        <f>C27</f>
        <v>122.6</v>
      </c>
      <c r="D39" s="1">
        <f>D27*0.866</f>
        <v>4.6764</v>
      </c>
      <c r="E39" s="1">
        <f>E27</f>
        <v>125.1</v>
      </c>
      <c r="F39" s="1">
        <f>F27*0.866</f>
        <v>3.031</v>
      </c>
      <c r="G39" s="37">
        <f>G27</f>
        <v>13</v>
      </c>
      <c r="H39" s="13"/>
      <c r="I39" s="6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/>
      <c r="U39"/>
      <c r="V39"/>
      <c r="W39"/>
      <c r="X39"/>
    </row>
    <row r="40" spans="1:24" ht="13.5" hidden="1" thickBot="1">
      <c r="A40" s="12"/>
      <c r="B40" s="41">
        <f>$E$34+G40</f>
        <v>371</v>
      </c>
      <c r="C40" s="38">
        <f>C28</f>
        <v>109.1</v>
      </c>
      <c r="D40" s="38">
        <f>D28*0.866</f>
        <v>4.8496</v>
      </c>
      <c r="E40" s="38">
        <f>E28</f>
        <v>111.3</v>
      </c>
      <c r="F40" s="38">
        <f>F28*0.866</f>
        <v>3.1176</v>
      </c>
      <c r="G40" s="39">
        <f>G28</f>
        <v>11</v>
      </c>
      <c r="H40" s="13"/>
      <c r="I40" s="63"/>
      <c r="J40" s="13"/>
      <c r="K40" s="13"/>
      <c r="L40" s="13"/>
      <c r="M40" s="13"/>
      <c r="N40" s="13"/>
      <c r="O40" s="13"/>
      <c r="P40" s="13"/>
      <c r="Q40" s="13"/>
      <c r="R40" s="13"/>
      <c r="S40" s="14"/>
      <c r="T40"/>
      <c r="U40"/>
      <c r="V40"/>
      <c r="W40"/>
      <c r="X40"/>
    </row>
    <row r="41" spans="1:24" ht="12.75">
      <c r="A41" s="12"/>
      <c r="B41" s="13"/>
      <c r="C41" s="26"/>
      <c r="D41" s="29"/>
      <c r="E41" s="29"/>
      <c r="F41" s="29"/>
      <c r="G41" s="29"/>
      <c r="H41" s="36"/>
      <c r="I41" s="6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/>
      <c r="U41"/>
      <c r="V41"/>
      <c r="W41"/>
      <c r="X41"/>
    </row>
    <row r="42" spans="1:2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162"/>
      <c r="L42" s="65"/>
      <c r="M42" s="65"/>
      <c r="N42" s="65"/>
      <c r="O42" s="65"/>
      <c r="P42" s="65"/>
      <c r="Q42" s="65"/>
      <c r="R42" s="65"/>
      <c r="S42" s="105"/>
      <c r="T42"/>
      <c r="U42"/>
      <c r="V42"/>
      <c r="W42"/>
      <c r="X42"/>
    </row>
    <row r="43" spans="1:24" ht="26.25" customHeight="1">
      <c r="A43" s="108"/>
      <c r="B43" s="66" t="s">
        <v>6</v>
      </c>
      <c r="C43" s="66" t="s">
        <v>0</v>
      </c>
      <c r="D43" s="66" t="s">
        <v>1</v>
      </c>
      <c r="E43" s="66" t="s">
        <v>2</v>
      </c>
      <c r="F43" s="66" t="s">
        <v>3</v>
      </c>
      <c r="G43" s="66" t="s">
        <v>4</v>
      </c>
      <c r="H43" s="66" t="s">
        <v>5</v>
      </c>
      <c r="I43" s="66" t="s">
        <v>27</v>
      </c>
      <c r="J43" s="163" t="s">
        <v>28</v>
      </c>
      <c r="K43" s="109" t="s">
        <v>43</v>
      </c>
      <c r="L43" s="65"/>
      <c r="M43" s="65"/>
      <c r="N43" s="65"/>
      <c r="O43" s="65"/>
      <c r="P43" s="65"/>
      <c r="Q43" s="65"/>
      <c r="R43" s="65"/>
      <c r="S43" s="105"/>
      <c r="T43"/>
      <c r="U43"/>
      <c r="V43"/>
      <c r="W43"/>
      <c r="X43"/>
    </row>
    <row r="44" spans="1:24" ht="12.75">
      <c r="A44" s="108"/>
      <c r="B44" s="63"/>
      <c r="C44" s="67" t="s">
        <v>34</v>
      </c>
      <c r="D44" s="67" t="s">
        <v>34</v>
      </c>
      <c r="E44" s="47"/>
      <c r="F44" s="47"/>
      <c r="G44" s="47"/>
      <c r="H44" s="47"/>
      <c r="I44" s="47"/>
      <c r="J44" s="164"/>
      <c r="K44" s="110"/>
      <c r="L44" s="65"/>
      <c r="M44" s="65"/>
      <c r="N44" s="65"/>
      <c r="O44" s="65"/>
      <c r="P44" s="65"/>
      <c r="Q44" s="65"/>
      <c r="R44" s="65"/>
      <c r="S44" s="105"/>
      <c r="T44"/>
      <c r="U44"/>
      <c r="V44"/>
      <c r="W44"/>
      <c r="X44"/>
    </row>
    <row r="45" spans="1:24" ht="12.75">
      <c r="A45" s="111"/>
      <c r="B45" s="82">
        <v>1</v>
      </c>
      <c r="C45" s="83">
        <f>2*$C46+$D$36*$M$37</f>
        <v>-109.12500000000003</v>
      </c>
      <c r="D45" s="68">
        <f>$D$36</f>
        <v>6.6682</v>
      </c>
      <c r="E45" s="69">
        <f>$E$34+$G$36</f>
        <v>398</v>
      </c>
      <c r="F45" s="70">
        <f>C46</f>
        <v>-56.48744353250515</v>
      </c>
      <c r="G45" s="71">
        <f aca="true" t="shared" si="0" ref="G45:G51">-F45*$M$34</f>
        <v>97.83912218797687</v>
      </c>
      <c r="H45" s="69">
        <f>$E$34+$G$36</f>
        <v>398</v>
      </c>
      <c r="I45" s="72">
        <f aca="true" t="shared" si="1" ref="I45:I76">$E$33</f>
        <v>0.051</v>
      </c>
      <c r="J45" s="165">
        <v>8</v>
      </c>
      <c r="K45" s="112">
        <f aca="true" t="shared" si="2" ref="K45:K51">-(C45-F45)/($M$33*J45)</f>
        <v>13.159389116873717</v>
      </c>
      <c r="L45" s="65"/>
      <c r="M45" s="65"/>
      <c r="N45" s="65"/>
      <c r="O45" s="65"/>
      <c r="P45" s="65"/>
      <c r="Q45" s="65"/>
      <c r="R45" s="65"/>
      <c r="S45" s="105"/>
      <c r="T45"/>
      <c r="U45"/>
      <c r="V45"/>
      <c r="W45"/>
      <c r="X45"/>
    </row>
    <row r="46" spans="1:24" ht="12.75">
      <c r="A46" s="111"/>
      <c r="B46" s="84">
        <v>2</v>
      </c>
      <c r="C46" s="83">
        <f>-$M$33*(0.5*$C$36+0.25*$E$32+0.5*$D$36/$M$36)</f>
        <v>-56.48744353250515</v>
      </c>
      <c r="D46" s="68">
        <f aca="true" t="shared" si="3" ref="D46:D51">-C46*$M$34</f>
        <v>97.83912218797687</v>
      </c>
      <c r="E46" s="69">
        <f aca="true" t="shared" si="4" ref="E46:E74">$E$34+$G$36</f>
        <v>398</v>
      </c>
      <c r="F46" s="73">
        <f aca="true" t="shared" si="5" ref="F46:F51">C47</f>
        <v>-12.000000000000004</v>
      </c>
      <c r="G46" s="71">
        <f t="shared" si="0"/>
        <v>20.784609690826528</v>
      </c>
      <c r="H46" s="69">
        <f aca="true" t="shared" si="6" ref="H46:H74">$E$34+$G$36</f>
        <v>398</v>
      </c>
      <c r="I46" s="72">
        <f t="shared" si="1"/>
        <v>0.051</v>
      </c>
      <c r="J46" s="165">
        <v>7</v>
      </c>
      <c r="K46" s="112">
        <f t="shared" si="2"/>
        <v>12.710698152144323</v>
      </c>
      <c r="L46" s="65"/>
      <c r="M46" s="65"/>
      <c r="N46" s="65"/>
      <c r="O46" s="65"/>
      <c r="P46" s="65"/>
      <c r="Q46" s="65"/>
      <c r="R46" s="65"/>
      <c r="S46" s="105"/>
      <c r="T46"/>
      <c r="U46"/>
      <c r="V46"/>
      <c r="W46"/>
      <c r="X46"/>
    </row>
    <row r="47" spans="1:24" ht="12.75">
      <c r="A47" s="111"/>
      <c r="B47" s="84">
        <v>3</v>
      </c>
      <c r="C47" s="73">
        <f>-8*$E$32*$M$33+C48</f>
        <v>-12.000000000000004</v>
      </c>
      <c r="D47" s="71">
        <f t="shared" si="3"/>
        <v>20.784609690826528</v>
      </c>
      <c r="E47" s="69">
        <f t="shared" si="4"/>
        <v>398</v>
      </c>
      <c r="F47" s="73">
        <f t="shared" si="5"/>
        <v>-6.000000000000002</v>
      </c>
      <c r="G47" s="71">
        <f t="shared" si="0"/>
        <v>10.392304845413264</v>
      </c>
      <c r="H47" s="69">
        <f t="shared" si="6"/>
        <v>398</v>
      </c>
      <c r="I47" s="72">
        <f t="shared" si="1"/>
        <v>0.051</v>
      </c>
      <c r="J47" s="165">
        <v>1</v>
      </c>
      <c r="K47" s="112">
        <f t="shared" si="2"/>
        <v>12</v>
      </c>
      <c r="L47" s="65"/>
      <c r="M47" s="65"/>
      <c r="N47" s="65"/>
      <c r="O47" s="65"/>
      <c r="P47" s="65"/>
      <c r="Q47" s="65"/>
      <c r="R47" s="65"/>
      <c r="S47" s="105"/>
      <c r="T47"/>
      <c r="U47"/>
      <c r="V47"/>
      <c r="W47"/>
      <c r="X47"/>
    </row>
    <row r="48" spans="1:24" ht="12.75">
      <c r="A48" s="111" t="s">
        <v>31</v>
      </c>
      <c r="B48" s="84">
        <v>4</v>
      </c>
      <c r="C48" s="73">
        <f>-4*$E$32*$M$33+C49</f>
        <v>-6.000000000000002</v>
      </c>
      <c r="D48" s="71">
        <f t="shared" si="3"/>
        <v>10.392304845413264</v>
      </c>
      <c r="E48" s="69">
        <f t="shared" si="4"/>
        <v>398</v>
      </c>
      <c r="F48" s="73">
        <f t="shared" si="5"/>
        <v>-3.000000000000001</v>
      </c>
      <c r="G48" s="71">
        <f t="shared" si="0"/>
        <v>5.196152422706632</v>
      </c>
      <c r="H48" s="69">
        <f t="shared" si="6"/>
        <v>398</v>
      </c>
      <c r="I48" s="72">
        <f t="shared" si="1"/>
        <v>0.051</v>
      </c>
      <c r="J48" s="165">
        <v>1</v>
      </c>
      <c r="K48" s="112">
        <f t="shared" si="2"/>
        <v>6</v>
      </c>
      <c r="L48" s="65"/>
      <c r="M48" s="65"/>
      <c r="N48" s="65"/>
      <c r="O48" s="65"/>
      <c r="P48" s="65"/>
      <c r="Q48" s="65"/>
      <c r="R48" s="65"/>
      <c r="S48" s="105"/>
      <c r="T48"/>
      <c r="U48"/>
      <c r="V48"/>
      <c r="W48"/>
      <c r="X48"/>
    </row>
    <row r="49" spans="1:24" ht="12.75">
      <c r="A49" s="111"/>
      <c r="B49" s="84">
        <v>5</v>
      </c>
      <c r="C49" s="73">
        <f>-2*$E$32*$M$33+C50</f>
        <v>-3.000000000000001</v>
      </c>
      <c r="D49" s="71">
        <f t="shared" si="3"/>
        <v>5.196152422706632</v>
      </c>
      <c r="E49" s="69">
        <f t="shared" si="4"/>
        <v>398</v>
      </c>
      <c r="F49" s="73">
        <f t="shared" si="5"/>
        <v>-1.5000000000000004</v>
      </c>
      <c r="G49" s="71">
        <f t="shared" si="0"/>
        <v>2.598076211353316</v>
      </c>
      <c r="H49" s="69">
        <f t="shared" si="6"/>
        <v>398</v>
      </c>
      <c r="I49" s="72">
        <f t="shared" si="1"/>
        <v>0.051</v>
      </c>
      <c r="J49" s="165">
        <v>1</v>
      </c>
      <c r="K49" s="112">
        <f t="shared" si="2"/>
        <v>3</v>
      </c>
      <c r="L49" s="65"/>
      <c r="M49" s="65"/>
      <c r="N49" s="65"/>
      <c r="O49" s="65"/>
      <c r="P49" s="65"/>
      <c r="Q49" s="65"/>
      <c r="R49" s="65"/>
      <c r="S49" s="105"/>
      <c r="T49"/>
      <c r="U49"/>
      <c r="V49"/>
      <c r="W49"/>
      <c r="X49"/>
    </row>
    <row r="50" spans="1:24" ht="12.75">
      <c r="A50" s="111"/>
      <c r="B50" s="84">
        <v>6</v>
      </c>
      <c r="C50" s="73">
        <f>-$E$32*$M$33+C51</f>
        <v>-1.5000000000000004</v>
      </c>
      <c r="D50" s="71">
        <f t="shared" si="3"/>
        <v>2.598076211353316</v>
      </c>
      <c r="E50" s="69">
        <f t="shared" si="4"/>
        <v>398</v>
      </c>
      <c r="F50" s="73">
        <f t="shared" si="5"/>
        <v>-0.7500000000000002</v>
      </c>
      <c r="G50" s="71">
        <f t="shared" si="0"/>
        <v>1.299038105676658</v>
      </c>
      <c r="H50" s="69">
        <f t="shared" si="6"/>
        <v>398</v>
      </c>
      <c r="I50" s="72">
        <f t="shared" si="1"/>
        <v>0.051</v>
      </c>
      <c r="J50" s="165">
        <v>1</v>
      </c>
      <c r="K50" s="112">
        <f t="shared" si="2"/>
        <v>1.5</v>
      </c>
      <c r="L50" s="65"/>
      <c r="M50" s="65"/>
      <c r="N50" s="65"/>
      <c r="O50" s="65"/>
      <c r="P50" s="65"/>
      <c r="Q50" s="65"/>
      <c r="R50" s="65"/>
      <c r="S50" s="105"/>
      <c r="T50"/>
      <c r="U50"/>
      <c r="V50"/>
      <c r="W50"/>
      <c r="X50"/>
    </row>
    <row r="51" spans="1:24" ht="12.75">
      <c r="A51" s="111"/>
      <c r="B51" s="82">
        <v>7</v>
      </c>
      <c r="C51" s="73">
        <f>-$E$32*0.5*$M$33+C52</f>
        <v>-0.7500000000000002</v>
      </c>
      <c r="D51" s="71">
        <f t="shared" si="3"/>
        <v>1.299038105676658</v>
      </c>
      <c r="E51" s="69">
        <f t="shared" si="4"/>
        <v>398</v>
      </c>
      <c r="F51" s="73">
        <f t="shared" si="5"/>
        <v>-0.3750000000000001</v>
      </c>
      <c r="G51" s="71">
        <f t="shared" si="0"/>
        <v>0.649519052838329</v>
      </c>
      <c r="H51" s="69">
        <f t="shared" si="6"/>
        <v>398</v>
      </c>
      <c r="I51" s="72">
        <f t="shared" si="1"/>
        <v>0.051</v>
      </c>
      <c r="J51" s="165">
        <v>1</v>
      </c>
      <c r="K51" s="112">
        <f t="shared" si="2"/>
        <v>0.75</v>
      </c>
      <c r="L51" s="65"/>
      <c r="M51" s="65"/>
      <c r="N51" s="65"/>
      <c r="O51" s="65"/>
      <c r="P51" s="65"/>
      <c r="Q51" s="65"/>
      <c r="R51" s="65"/>
      <c r="S51" s="105"/>
      <c r="T51"/>
      <c r="U51"/>
      <c r="V51"/>
      <c r="W51"/>
      <c r="X51"/>
    </row>
    <row r="52" spans="1:24" ht="12.75">
      <c r="A52" s="113" t="s">
        <v>30</v>
      </c>
      <c r="B52" s="85">
        <v>8</v>
      </c>
      <c r="C52" s="73">
        <f>-$E$32*0.5*$M$33</f>
        <v>-0.3750000000000001</v>
      </c>
      <c r="D52" s="71">
        <f>$E$32*0.5*$M$32</f>
        <v>0.649519052838329</v>
      </c>
      <c r="E52" s="69">
        <f t="shared" si="4"/>
        <v>398</v>
      </c>
      <c r="F52" s="73">
        <f>$E$32*0.5*$M$33</f>
        <v>0.3750000000000001</v>
      </c>
      <c r="G52" s="71">
        <f>$E$32*0.5*$M$32</f>
        <v>0.649519052838329</v>
      </c>
      <c r="H52" s="69">
        <f t="shared" si="6"/>
        <v>398</v>
      </c>
      <c r="I52" s="72">
        <f t="shared" si="1"/>
        <v>0.051</v>
      </c>
      <c r="J52" s="165">
        <v>1</v>
      </c>
      <c r="K52" s="114">
        <f>-(C52-F52)</f>
        <v>0.7500000000000002</v>
      </c>
      <c r="L52" s="65"/>
      <c r="M52" s="65"/>
      <c r="N52" s="65"/>
      <c r="O52" s="65"/>
      <c r="P52" s="65"/>
      <c r="Q52" s="65"/>
      <c r="R52" s="65"/>
      <c r="S52" s="105"/>
      <c r="T52"/>
      <c r="U52"/>
      <c r="V52"/>
      <c r="W52"/>
      <c r="X52"/>
    </row>
    <row r="53" spans="1:24" ht="12.75">
      <c r="A53" s="111"/>
      <c r="B53" s="82">
        <v>9</v>
      </c>
      <c r="C53" s="73">
        <f aca="true" t="shared" si="7" ref="C53:D59">F52</f>
        <v>0.3750000000000001</v>
      </c>
      <c r="D53" s="71">
        <f t="shared" si="7"/>
        <v>0.649519052838329</v>
      </c>
      <c r="E53" s="69">
        <f t="shared" si="4"/>
        <v>398</v>
      </c>
      <c r="F53" s="73">
        <f>-C51</f>
        <v>0.7500000000000002</v>
      </c>
      <c r="G53" s="71">
        <f>D51</f>
        <v>1.299038105676658</v>
      </c>
      <c r="H53" s="69">
        <f t="shared" si="6"/>
        <v>398</v>
      </c>
      <c r="I53" s="72">
        <f t="shared" si="1"/>
        <v>0.051</v>
      </c>
      <c r="J53" s="165">
        <v>1</v>
      </c>
      <c r="K53" s="112">
        <f aca="true" t="shared" si="8" ref="K53:K66">-(C53-F53)/($M$33*J53)</f>
        <v>0.75</v>
      </c>
      <c r="L53" s="65"/>
      <c r="M53" s="65"/>
      <c r="N53" s="65"/>
      <c r="O53" s="65"/>
      <c r="P53" s="65"/>
      <c r="Q53" s="65"/>
      <c r="R53" s="65"/>
      <c r="S53" s="105"/>
      <c r="T53"/>
      <c r="U53"/>
      <c r="V53"/>
      <c r="W53"/>
      <c r="X53"/>
    </row>
    <row r="54" spans="1:24" ht="12.75">
      <c r="A54" s="111"/>
      <c r="B54" s="82">
        <v>10</v>
      </c>
      <c r="C54" s="73">
        <f t="shared" si="7"/>
        <v>0.7500000000000002</v>
      </c>
      <c r="D54" s="71">
        <f t="shared" si="7"/>
        <v>1.299038105676658</v>
      </c>
      <c r="E54" s="69">
        <f t="shared" si="4"/>
        <v>398</v>
      </c>
      <c r="F54" s="73">
        <f>-C50</f>
        <v>1.5000000000000004</v>
      </c>
      <c r="G54" s="71">
        <f>D50</f>
        <v>2.598076211353316</v>
      </c>
      <c r="H54" s="69">
        <f t="shared" si="6"/>
        <v>398</v>
      </c>
      <c r="I54" s="72">
        <f t="shared" si="1"/>
        <v>0.051</v>
      </c>
      <c r="J54" s="165">
        <v>1</v>
      </c>
      <c r="K54" s="112">
        <f t="shared" si="8"/>
        <v>1.5</v>
      </c>
      <c r="L54" s="65"/>
      <c r="M54" s="65"/>
      <c r="N54" s="65"/>
      <c r="O54" s="65"/>
      <c r="P54" s="65"/>
      <c r="Q54" s="65"/>
      <c r="R54" s="65"/>
      <c r="S54" s="105"/>
      <c r="T54"/>
      <c r="U54"/>
      <c r="V54"/>
      <c r="W54"/>
      <c r="X54"/>
    </row>
    <row r="55" spans="1:24" ht="12.75">
      <c r="A55" s="111"/>
      <c r="B55" s="82">
        <v>11</v>
      </c>
      <c r="C55" s="73">
        <f t="shared" si="7"/>
        <v>1.5000000000000004</v>
      </c>
      <c r="D55" s="71">
        <f t="shared" si="7"/>
        <v>2.598076211353316</v>
      </c>
      <c r="E55" s="69">
        <f t="shared" si="4"/>
        <v>398</v>
      </c>
      <c r="F55" s="73">
        <f>-C49</f>
        <v>3.000000000000001</v>
      </c>
      <c r="G55" s="71">
        <f>D49</f>
        <v>5.196152422706632</v>
      </c>
      <c r="H55" s="69">
        <f t="shared" si="6"/>
        <v>398</v>
      </c>
      <c r="I55" s="72">
        <f t="shared" si="1"/>
        <v>0.051</v>
      </c>
      <c r="J55" s="165">
        <v>1</v>
      </c>
      <c r="K55" s="112">
        <f t="shared" si="8"/>
        <v>3</v>
      </c>
      <c r="L55" s="65"/>
      <c r="M55" s="65"/>
      <c r="N55" s="65"/>
      <c r="O55" s="65"/>
      <c r="P55" s="65"/>
      <c r="Q55" s="65"/>
      <c r="R55" s="65"/>
      <c r="S55" s="105"/>
      <c r="T55"/>
      <c r="U55"/>
      <c r="V55"/>
      <c r="W55"/>
      <c r="X55"/>
    </row>
    <row r="56" spans="1:24" ht="12.75">
      <c r="A56" s="111" t="s">
        <v>32</v>
      </c>
      <c r="B56" s="82">
        <v>12</v>
      </c>
      <c r="C56" s="73">
        <f t="shared" si="7"/>
        <v>3.000000000000001</v>
      </c>
      <c r="D56" s="71">
        <f t="shared" si="7"/>
        <v>5.196152422706632</v>
      </c>
      <c r="E56" s="69">
        <f t="shared" si="4"/>
        <v>398</v>
      </c>
      <c r="F56" s="73">
        <f>-C48</f>
        <v>6.000000000000002</v>
      </c>
      <c r="G56" s="71">
        <f>D48</f>
        <v>10.392304845413264</v>
      </c>
      <c r="H56" s="69">
        <f t="shared" si="6"/>
        <v>398</v>
      </c>
      <c r="I56" s="72">
        <f t="shared" si="1"/>
        <v>0.051</v>
      </c>
      <c r="J56" s="165">
        <v>1</v>
      </c>
      <c r="K56" s="112">
        <f t="shared" si="8"/>
        <v>6</v>
      </c>
      <c r="L56" s="65"/>
      <c r="M56" s="65"/>
      <c r="N56" s="65"/>
      <c r="O56" s="65"/>
      <c r="P56" s="65"/>
      <c r="Q56" s="65"/>
      <c r="R56" s="65"/>
      <c r="S56" s="105"/>
      <c r="T56"/>
      <c r="U56"/>
      <c r="V56"/>
      <c r="W56"/>
      <c r="X56"/>
    </row>
    <row r="57" spans="1:24" ht="12.75">
      <c r="A57" s="111"/>
      <c r="B57" s="82">
        <v>13</v>
      </c>
      <c r="C57" s="73">
        <f t="shared" si="7"/>
        <v>6.000000000000002</v>
      </c>
      <c r="D57" s="71">
        <f t="shared" si="7"/>
        <v>10.392304845413264</v>
      </c>
      <c r="E57" s="69">
        <f t="shared" si="4"/>
        <v>398</v>
      </c>
      <c r="F57" s="73">
        <f>-C47</f>
        <v>12.000000000000004</v>
      </c>
      <c r="G57" s="71">
        <f>D47</f>
        <v>20.784609690826528</v>
      </c>
      <c r="H57" s="69">
        <f t="shared" si="6"/>
        <v>398</v>
      </c>
      <c r="I57" s="72">
        <f t="shared" si="1"/>
        <v>0.051</v>
      </c>
      <c r="J57" s="165">
        <v>1</v>
      </c>
      <c r="K57" s="112">
        <f t="shared" si="8"/>
        <v>12</v>
      </c>
      <c r="L57" s="65"/>
      <c r="M57" s="65"/>
      <c r="N57" s="65"/>
      <c r="O57" s="65"/>
      <c r="P57" s="65"/>
      <c r="Q57" s="65"/>
      <c r="R57" s="65"/>
      <c r="S57" s="105"/>
      <c r="T57"/>
      <c r="U57"/>
      <c r="V57"/>
      <c r="W57"/>
      <c r="X57"/>
    </row>
    <row r="58" spans="1:24" ht="12.75">
      <c r="A58" s="111"/>
      <c r="B58" s="82">
        <v>14</v>
      </c>
      <c r="C58" s="73">
        <f t="shared" si="7"/>
        <v>12.000000000000004</v>
      </c>
      <c r="D58" s="71">
        <f t="shared" si="7"/>
        <v>20.784609690826528</v>
      </c>
      <c r="E58" s="69">
        <f t="shared" si="4"/>
        <v>398</v>
      </c>
      <c r="F58" s="70">
        <f>-C46</f>
        <v>56.48744353250515</v>
      </c>
      <c r="G58" s="71">
        <f>D46</f>
        <v>97.83912218797687</v>
      </c>
      <c r="H58" s="69">
        <f t="shared" si="6"/>
        <v>398</v>
      </c>
      <c r="I58" s="72">
        <f t="shared" si="1"/>
        <v>0.051</v>
      </c>
      <c r="J58" s="165">
        <v>7</v>
      </c>
      <c r="K58" s="112">
        <f t="shared" si="8"/>
        <v>12.710698152144323</v>
      </c>
      <c r="L58" s="65"/>
      <c r="M58" s="65"/>
      <c r="N58" s="65"/>
      <c r="O58" s="65"/>
      <c r="P58" s="65"/>
      <c r="Q58" s="65"/>
      <c r="R58" s="65"/>
      <c r="S58" s="105"/>
      <c r="T58"/>
      <c r="U58"/>
      <c r="V58"/>
      <c r="W58"/>
      <c r="X58"/>
    </row>
    <row r="59" spans="1:24" ht="12.75">
      <c r="A59" s="111"/>
      <c r="B59" s="82">
        <v>15</v>
      </c>
      <c r="C59" s="70">
        <f t="shared" si="7"/>
        <v>56.48744353250515</v>
      </c>
      <c r="D59" s="71">
        <f t="shared" si="7"/>
        <v>97.83912218797687</v>
      </c>
      <c r="E59" s="69">
        <f t="shared" si="4"/>
        <v>398</v>
      </c>
      <c r="F59" s="70">
        <f>-C45</f>
        <v>109.12500000000003</v>
      </c>
      <c r="G59" s="71">
        <f>D45</f>
        <v>6.6682</v>
      </c>
      <c r="H59" s="69">
        <f t="shared" si="6"/>
        <v>398</v>
      </c>
      <c r="I59" s="72">
        <f t="shared" si="1"/>
        <v>0.051</v>
      </c>
      <c r="J59" s="165">
        <v>7</v>
      </c>
      <c r="K59" s="112">
        <f t="shared" si="8"/>
        <v>15.039301847855677</v>
      </c>
      <c r="L59" s="65"/>
      <c r="M59" s="65"/>
      <c r="N59" s="65"/>
      <c r="O59" s="65"/>
      <c r="P59" s="65"/>
      <c r="Q59" s="65"/>
      <c r="R59" s="65"/>
      <c r="S59" s="105"/>
      <c r="T59"/>
      <c r="U59"/>
      <c r="V59"/>
      <c r="W59"/>
      <c r="X59"/>
    </row>
    <row r="60" spans="1:24" ht="12.75">
      <c r="A60" s="115"/>
      <c r="B60" s="82">
        <v>16</v>
      </c>
      <c r="C60" s="83">
        <f>2*$C61+$F$36*$M$37</f>
        <v>-111.32500000000003</v>
      </c>
      <c r="D60" s="68">
        <f>-$F$36</f>
        <v>-4.33</v>
      </c>
      <c r="E60" s="69">
        <f t="shared" si="4"/>
        <v>398</v>
      </c>
      <c r="F60" s="70">
        <f>C61</f>
        <v>-56.912463332795554</v>
      </c>
      <c r="G60" s="71">
        <f aca="true" t="shared" si="9" ref="G60:G66">F60*$M$34</f>
        <v>-98.57527807630262</v>
      </c>
      <c r="H60" s="69">
        <f t="shared" si="6"/>
        <v>398</v>
      </c>
      <c r="I60" s="72">
        <f t="shared" si="1"/>
        <v>0.051</v>
      </c>
      <c r="J60" s="165">
        <v>7</v>
      </c>
      <c r="K60" s="112">
        <f t="shared" si="8"/>
        <v>15.546439047772704</v>
      </c>
      <c r="L60" s="65"/>
      <c r="M60" s="65"/>
      <c r="N60" s="65"/>
      <c r="O60" s="65"/>
      <c r="P60" s="65"/>
      <c r="Q60" s="65"/>
      <c r="R60" s="65"/>
      <c r="S60" s="105"/>
      <c r="T60"/>
      <c r="U60"/>
      <c r="V60"/>
      <c r="W60"/>
      <c r="X60"/>
    </row>
    <row r="61" spans="1:24" ht="12.75">
      <c r="A61" s="115"/>
      <c r="B61" s="82">
        <v>17</v>
      </c>
      <c r="C61" s="83">
        <f>-$M$33*(0.5*$E$36+0.25*$E$32+0.5*$F$36/$M$36)</f>
        <v>-56.912463332795554</v>
      </c>
      <c r="D61" s="68">
        <f aca="true" t="shared" si="10" ref="D61:D66">C61*$M$34</f>
        <v>-98.57527807630262</v>
      </c>
      <c r="E61" s="69">
        <f t="shared" si="4"/>
        <v>398</v>
      </c>
      <c r="F61" s="73">
        <f aca="true" t="shared" si="11" ref="F61:F66">C62</f>
        <v>-12.000000000000004</v>
      </c>
      <c r="G61" s="71">
        <f t="shared" si="9"/>
        <v>-20.784609690826528</v>
      </c>
      <c r="H61" s="69">
        <f t="shared" si="6"/>
        <v>398</v>
      </c>
      <c r="I61" s="72">
        <f t="shared" si="1"/>
        <v>0.051</v>
      </c>
      <c r="J61" s="165">
        <v>7</v>
      </c>
      <c r="K61" s="112">
        <f t="shared" si="8"/>
        <v>12.832132380798726</v>
      </c>
      <c r="L61" s="65"/>
      <c r="M61" s="65"/>
      <c r="N61" s="65"/>
      <c r="O61" s="65"/>
      <c r="P61" s="65"/>
      <c r="Q61" s="65"/>
      <c r="R61" s="65"/>
      <c r="S61" s="105"/>
      <c r="T61"/>
      <c r="U61"/>
      <c r="V61"/>
      <c r="W61"/>
      <c r="X61"/>
    </row>
    <row r="62" spans="1:24" ht="12.75">
      <c r="A62" s="115" t="s">
        <v>31</v>
      </c>
      <c r="B62" s="82">
        <v>18</v>
      </c>
      <c r="C62" s="86">
        <f>-8*$E$32*$M$33+C63</f>
        <v>-12.000000000000004</v>
      </c>
      <c r="D62" s="68">
        <f t="shared" si="10"/>
        <v>-20.784609690826528</v>
      </c>
      <c r="E62" s="69">
        <f t="shared" si="4"/>
        <v>398</v>
      </c>
      <c r="F62" s="73">
        <f t="shared" si="11"/>
        <v>-6.000000000000002</v>
      </c>
      <c r="G62" s="71">
        <f t="shared" si="9"/>
        <v>-10.392304845413264</v>
      </c>
      <c r="H62" s="69">
        <f t="shared" si="6"/>
        <v>398</v>
      </c>
      <c r="I62" s="72">
        <f t="shared" si="1"/>
        <v>0.051</v>
      </c>
      <c r="J62" s="165">
        <v>1</v>
      </c>
      <c r="K62" s="112">
        <f t="shared" si="8"/>
        <v>12</v>
      </c>
      <c r="L62" s="65"/>
      <c r="M62" s="65"/>
      <c r="N62" s="65"/>
      <c r="O62" s="65"/>
      <c r="P62" s="65"/>
      <c r="Q62" s="65"/>
      <c r="R62" s="65"/>
      <c r="S62" s="105"/>
      <c r="T62"/>
      <c r="U62"/>
      <c r="V62"/>
      <c r="W62"/>
      <c r="X62"/>
    </row>
    <row r="63" spans="1:24" ht="12.75">
      <c r="A63" s="115"/>
      <c r="B63" s="82">
        <v>19</v>
      </c>
      <c r="C63" s="73">
        <f>-4*$E$32*$M$33+C64</f>
        <v>-6.000000000000002</v>
      </c>
      <c r="D63" s="71">
        <f t="shared" si="10"/>
        <v>-10.392304845413264</v>
      </c>
      <c r="E63" s="69">
        <f t="shared" si="4"/>
        <v>398</v>
      </c>
      <c r="F63" s="73">
        <f t="shared" si="11"/>
        <v>-3.000000000000001</v>
      </c>
      <c r="G63" s="71">
        <f t="shared" si="9"/>
        <v>-5.196152422706632</v>
      </c>
      <c r="H63" s="69">
        <f t="shared" si="6"/>
        <v>398</v>
      </c>
      <c r="I63" s="72">
        <f t="shared" si="1"/>
        <v>0.051</v>
      </c>
      <c r="J63" s="165">
        <v>1</v>
      </c>
      <c r="K63" s="112">
        <f t="shared" si="8"/>
        <v>6</v>
      </c>
      <c r="L63" s="65"/>
      <c r="M63" s="65"/>
      <c r="N63" s="65"/>
      <c r="O63" s="65"/>
      <c r="P63" s="65"/>
      <c r="Q63" s="65"/>
      <c r="R63" s="65"/>
      <c r="S63" s="105"/>
      <c r="T63"/>
      <c r="U63"/>
      <c r="V63"/>
      <c r="W63"/>
      <c r="X63"/>
    </row>
    <row r="64" spans="1:24" ht="12.75">
      <c r="A64" s="115"/>
      <c r="B64" s="82">
        <v>20</v>
      </c>
      <c r="C64" s="73">
        <f>-2*$E$32*$M$33+C65</f>
        <v>-3.000000000000001</v>
      </c>
      <c r="D64" s="71">
        <f t="shared" si="10"/>
        <v>-5.196152422706632</v>
      </c>
      <c r="E64" s="69">
        <f t="shared" si="4"/>
        <v>398</v>
      </c>
      <c r="F64" s="73">
        <f t="shared" si="11"/>
        <v>-1.5000000000000004</v>
      </c>
      <c r="G64" s="71">
        <f t="shared" si="9"/>
        <v>-2.598076211353316</v>
      </c>
      <c r="H64" s="69">
        <f t="shared" si="6"/>
        <v>398</v>
      </c>
      <c r="I64" s="72">
        <f t="shared" si="1"/>
        <v>0.051</v>
      </c>
      <c r="J64" s="165">
        <v>1</v>
      </c>
      <c r="K64" s="112">
        <f t="shared" si="8"/>
        <v>3</v>
      </c>
      <c r="L64" s="6"/>
      <c r="M64" s="65"/>
      <c r="N64" s="65"/>
      <c r="O64" s="65"/>
      <c r="P64" s="65"/>
      <c r="Q64" s="65"/>
      <c r="R64" s="65"/>
      <c r="S64" s="105"/>
      <c r="T64"/>
      <c r="U64"/>
      <c r="V64"/>
      <c r="W64"/>
      <c r="X64"/>
    </row>
    <row r="65" spans="1:24" ht="12.75">
      <c r="A65" s="115"/>
      <c r="B65" s="82">
        <v>21</v>
      </c>
      <c r="C65" s="73">
        <f>-$E$32*$M$33+C66</f>
        <v>-1.5000000000000004</v>
      </c>
      <c r="D65" s="71">
        <f t="shared" si="10"/>
        <v>-2.598076211353316</v>
      </c>
      <c r="E65" s="69">
        <f t="shared" si="4"/>
        <v>398</v>
      </c>
      <c r="F65" s="73">
        <f t="shared" si="11"/>
        <v>-0.7500000000000002</v>
      </c>
      <c r="G65" s="71">
        <f t="shared" si="9"/>
        <v>-1.299038105676658</v>
      </c>
      <c r="H65" s="69">
        <f t="shared" si="6"/>
        <v>398</v>
      </c>
      <c r="I65" s="72">
        <f t="shared" si="1"/>
        <v>0.051</v>
      </c>
      <c r="J65" s="165">
        <v>1</v>
      </c>
      <c r="K65" s="112">
        <f t="shared" si="8"/>
        <v>1.5</v>
      </c>
      <c r="L65" s="6"/>
      <c r="M65" s="65"/>
      <c r="N65" s="65"/>
      <c r="O65" s="65"/>
      <c r="P65" s="65"/>
      <c r="Q65" s="65"/>
      <c r="R65" s="65"/>
      <c r="S65" s="105"/>
      <c r="T65"/>
      <c r="U65"/>
      <c r="V65"/>
      <c r="W65"/>
      <c r="X65"/>
    </row>
    <row r="66" spans="1:24" ht="14.25">
      <c r="A66" s="115"/>
      <c r="B66" s="82">
        <v>22</v>
      </c>
      <c r="C66" s="73">
        <f>-$E$32*0.5*$M$33+C67</f>
        <v>-0.7500000000000002</v>
      </c>
      <c r="D66" s="71">
        <f t="shared" si="10"/>
        <v>-1.299038105676658</v>
      </c>
      <c r="E66" s="69">
        <f t="shared" si="4"/>
        <v>398</v>
      </c>
      <c r="F66" s="73">
        <f t="shared" si="11"/>
        <v>-0.3750000000000001</v>
      </c>
      <c r="G66" s="71">
        <f t="shared" si="9"/>
        <v>-0.649519052838329</v>
      </c>
      <c r="H66" s="69">
        <f t="shared" si="6"/>
        <v>398</v>
      </c>
      <c r="I66" s="72">
        <f t="shared" si="1"/>
        <v>0.051</v>
      </c>
      <c r="J66" s="165">
        <v>1</v>
      </c>
      <c r="K66" s="112">
        <f t="shared" si="8"/>
        <v>0.75</v>
      </c>
      <c r="L66" s="172" t="s">
        <v>61</v>
      </c>
      <c r="M66" s="65"/>
      <c r="N66" s="65"/>
      <c r="O66" s="65"/>
      <c r="P66" s="65"/>
      <c r="Q66" s="65"/>
      <c r="R66" s="65"/>
      <c r="S66" s="105"/>
      <c r="T66"/>
      <c r="U66"/>
      <c r="V66"/>
      <c r="W66"/>
      <c r="X66"/>
    </row>
    <row r="67" spans="1:24" ht="14.25">
      <c r="A67" s="116" t="s">
        <v>33</v>
      </c>
      <c r="B67" s="87">
        <v>23</v>
      </c>
      <c r="C67" s="73">
        <f>-$E$32*0.5*$M$33</f>
        <v>-0.3750000000000001</v>
      </c>
      <c r="D67" s="71">
        <f>-$E$32*0.5*$M$32</f>
        <v>-0.649519052838329</v>
      </c>
      <c r="E67" s="69">
        <f t="shared" si="4"/>
        <v>398</v>
      </c>
      <c r="F67" s="73">
        <f>$E$32*0.5*$M$33</f>
        <v>0.3750000000000001</v>
      </c>
      <c r="G67" s="71">
        <f>-$E$32*0.5*$M$32</f>
        <v>-0.649519052838329</v>
      </c>
      <c r="H67" s="69">
        <f t="shared" si="6"/>
        <v>398</v>
      </c>
      <c r="I67" s="72">
        <f t="shared" si="1"/>
        <v>0.051</v>
      </c>
      <c r="J67" s="165">
        <v>1</v>
      </c>
      <c r="K67" s="117">
        <f>-(C67-F67)</f>
        <v>0.7500000000000002</v>
      </c>
      <c r="L67" s="172" t="s">
        <v>62</v>
      </c>
      <c r="M67" s="65"/>
      <c r="N67" s="65"/>
      <c r="O67" s="65"/>
      <c r="P67" s="65"/>
      <c r="Q67" s="65"/>
      <c r="R67" s="65"/>
      <c r="S67" s="105"/>
      <c r="T67"/>
      <c r="U67"/>
      <c r="V67"/>
      <c r="W67"/>
      <c r="X67"/>
    </row>
    <row r="68" spans="1:24" ht="14.25">
      <c r="A68" s="115"/>
      <c r="B68" s="82">
        <v>24</v>
      </c>
      <c r="C68" s="73">
        <f aca="true" t="shared" si="12" ref="C68:D74">F67</f>
        <v>0.3750000000000001</v>
      </c>
      <c r="D68" s="71">
        <f t="shared" si="12"/>
        <v>-0.649519052838329</v>
      </c>
      <c r="E68" s="69">
        <f t="shared" si="4"/>
        <v>398</v>
      </c>
      <c r="F68" s="73">
        <f>-C66</f>
        <v>0.7500000000000002</v>
      </c>
      <c r="G68" s="71">
        <f>D66</f>
        <v>-1.299038105676658</v>
      </c>
      <c r="H68" s="69">
        <f t="shared" si="6"/>
        <v>398</v>
      </c>
      <c r="I68" s="72">
        <f t="shared" si="1"/>
        <v>0.051</v>
      </c>
      <c r="J68" s="165">
        <v>1</v>
      </c>
      <c r="K68" s="112">
        <f aca="true" t="shared" si="13" ref="K68:K81">-(C68-F68)/($M$33*J68)</f>
        <v>0.75</v>
      </c>
      <c r="L68" s="172" t="s">
        <v>69</v>
      </c>
      <c r="M68" s="65"/>
      <c r="N68" s="65"/>
      <c r="O68" s="65"/>
      <c r="P68" s="65"/>
      <c r="Q68" s="65"/>
      <c r="R68" s="65"/>
      <c r="S68" s="105"/>
      <c r="T68"/>
      <c r="U68"/>
      <c r="V68"/>
      <c r="W68"/>
      <c r="X68"/>
    </row>
    <row r="69" spans="1:24" ht="14.25">
      <c r="A69" s="115"/>
      <c r="B69" s="82">
        <v>25</v>
      </c>
      <c r="C69" s="73">
        <f t="shared" si="12"/>
        <v>0.7500000000000002</v>
      </c>
      <c r="D69" s="71">
        <f t="shared" si="12"/>
        <v>-1.299038105676658</v>
      </c>
      <c r="E69" s="69">
        <f t="shared" si="4"/>
        <v>398</v>
      </c>
      <c r="F69" s="73">
        <f>-C65</f>
        <v>1.5000000000000004</v>
      </c>
      <c r="G69" s="71">
        <f>D65</f>
        <v>-2.598076211353316</v>
      </c>
      <c r="H69" s="69">
        <f t="shared" si="6"/>
        <v>398</v>
      </c>
      <c r="I69" s="72">
        <f t="shared" si="1"/>
        <v>0.051</v>
      </c>
      <c r="J69" s="165">
        <v>1</v>
      </c>
      <c r="K69" s="112">
        <f t="shared" si="13"/>
        <v>1.5</v>
      </c>
      <c r="L69" s="172" t="s">
        <v>70</v>
      </c>
      <c r="M69" s="65"/>
      <c r="N69" s="65"/>
      <c r="O69" s="65"/>
      <c r="P69" s="65"/>
      <c r="Q69" s="65"/>
      <c r="R69" s="65"/>
      <c r="S69" s="105"/>
      <c r="T69"/>
      <c r="U69"/>
      <c r="V69"/>
      <c r="W69"/>
      <c r="X69"/>
    </row>
    <row r="70" spans="1:24" ht="14.25">
      <c r="A70" s="115"/>
      <c r="B70" s="82">
        <v>26</v>
      </c>
      <c r="C70" s="73">
        <f t="shared" si="12"/>
        <v>1.5000000000000004</v>
      </c>
      <c r="D70" s="71">
        <f t="shared" si="12"/>
        <v>-2.598076211353316</v>
      </c>
      <c r="E70" s="69">
        <f t="shared" si="4"/>
        <v>398</v>
      </c>
      <c r="F70" s="73">
        <f>-C64</f>
        <v>3.000000000000001</v>
      </c>
      <c r="G70" s="71">
        <f>D64</f>
        <v>-5.196152422706632</v>
      </c>
      <c r="H70" s="69">
        <f t="shared" si="6"/>
        <v>398</v>
      </c>
      <c r="I70" s="72">
        <f t="shared" si="1"/>
        <v>0.051</v>
      </c>
      <c r="J70" s="165">
        <v>1</v>
      </c>
      <c r="K70" s="112">
        <f t="shared" si="13"/>
        <v>3</v>
      </c>
      <c r="L70" s="172" t="s">
        <v>63</v>
      </c>
      <c r="M70" s="65"/>
      <c r="N70" s="65"/>
      <c r="O70" s="65"/>
      <c r="P70" s="65"/>
      <c r="Q70" s="65"/>
      <c r="R70" s="65"/>
      <c r="S70" s="105"/>
      <c r="T70"/>
      <c r="U70"/>
      <c r="V70"/>
      <c r="W70"/>
      <c r="X70"/>
    </row>
    <row r="71" spans="1:24" ht="14.25">
      <c r="A71" s="115"/>
      <c r="B71" s="82">
        <v>27</v>
      </c>
      <c r="C71" s="73">
        <f t="shared" si="12"/>
        <v>3.000000000000001</v>
      </c>
      <c r="D71" s="71">
        <f t="shared" si="12"/>
        <v>-5.196152422706632</v>
      </c>
      <c r="E71" s="69">
        <f t="shared" si="4"/>
        <v>398</v>
      </c>
      <c r="F71" s="73">
        <f>-C63</f>
        <v>6.000000000000002</v>
      </c>
      <c r="G71" s="71">
        <f>D63</f>
        <v>-10.392304845413264</v>
      </c>
      <c r="H71" s="69">
        <f t="shared" si="6"/>
        <v>398</v>
      </c>
      <c r="I71" s="72">
        <f t="shared" si="1"/>
        <v>0.051</v>
      </c>
      <c r="J71" s="165">
        <v>1</v>
      </c>
      <c r="K71" s="112">
        <f t="shared" si="13"/>
        <v>6</v>
      </c>
      <c r="L71" s="172" t="s">
        <v>64</v>
      </c>
      <c r="M71" s="151"/>
      <c r="N71" s="151"/>
      <c r="O71" s="151"/>
      <c r="P71" s="151"/>
      <c r="Q71" s="151"/>
      <c r="R71" s="151"/>
      <c r="S71" s="152"/>
      <c r="T71"/>
      <c r="U71"/>
      <c r="V71"/>
      <c r="W71"/>
      <c r="X71"/>
    </row>
    <row r="72" spans="1:24" ht="14.25">
      <c r="A72" s="115" t="s">
        <v>32</v>
      </c>
      <c r="B72" s="82">
        <v>28</v>
      </c>
      <c r="C72" s="73">
        <f t="shared" si="12"/>
        <v>6.000000000000002</v>
      </c>
      <c r="D72" s="71">
        <f t="shared" si="12"/>
        <v>-10.392304845413264</v>
      </c>
      <c r="E72" s="69">
        <f t="shared" si="4"/>
        <v>398</v>
      </c>
      <c r="F72" s="73">
        <f>-C62</f>
        <v>12.000000000000004</v>
      </c>
      <c r="G72" s="71">
        <f>D62</f>
        <v>-20.784609690826528</v>
      </c>
      <c r="H72" s="69">
        <f t="shared" si="6"/>
        <v>398</v>
      </c>
      <c r="I72" s="72">
        <f t="shared" si="1"/>
        <v>0.051</v>
      </c>
      <c r="J72" s="165">
        <v>1</v>
      </c>
      <c r="K72" s="112">
        <f t="shared" si="13"/>
        <v>12</v>
      </c>
      <c r="L72" s="172"/>
      <c r="M72" s="151"/>
      <c r="N72" s="151"/>
      <c r="O72" s="151"/>
      <c r="P72" s="151"/>
      <c r="Q72" s="151"/>
      <c r="R72" s="151"/>
      <c r="S72" s="152"/>
      <c r="T72"/>
      <c r="U72"/>
      <c r="V72"/>
      <c r="W72"/>
      <c r="X72"/>
    </row>
    <row r="73" spans="1:24" ht="12.75">
      <c r="A73" s="115"/>
      <c r="B73" s="82">
        <v>29</v>
      </c>
      <c r="C73" s="73">
        <f t="shared" si="12"/>
        <v>12.000000000000004</v>
      </c>
      <c r="D73" s="71">
        <f t="shared" si="12"/>
        <v>-20.784609690826528</v>
      </c>
      <c r="E73" s="69">
        <f t="shared" si="4"/>
        <v>398</v>
      </c>
      <c r="F73" s="70">
        <f>-C61</f>
        <v>56.912463332795554</v>
      </c>
      <c r="G73" s="71">
        <f>D61</f>
        <v>-98.57527807630262</v>
      </c>
      <c r="H73" s="69">
        <f t="shared" si="6"/>
        <v>398</v>
      </c>
      <c r="I73" s="72">
        <f t="shared" si="1"/>
        <v>0.051</v>
      </c>
      <c r="J73" s="165">
        <v>7</v>
      </c>
      <c r="K73" s="112">
        <f t="shared" si="13"/>
        <v>12.832132380798726</v>
      </c>
      <c r="M73" s="65"/>
      <c r="N73" s="65"/>
      <c r="O73" s="65"/>
      <c r="P73" s="65"/>
      <c r="Q73" s="65"/>
      <c r="R73" s="65"/>
      <c r="S73" s="105"/>
      <c r="T73"/>
      <c r="U73"/>
      <c r="V73"/>
      <c r="W73"/>
      <c r="X73"/>
    </row>
    <row r="74" spans="1:24" ht="15">
      <c r="A74" s="115"/>
      <c r="B74" s="82">
        <v>30</v>
      </c>
      <c r="C74" s="70">
        <f t="shared" si="12"/>
        <v>56.912463332795554</v>
      </c>
      <c r="D74" s="71">
        <f t="shared" si="12"/>
        <v>-98.57527807630262</v>
      </c>
      <c r="E74" s="69">
        <f t="shared" si="4"/>
        <v>398</v>
      </c>
      <c r="F74" s="70">
        <f>-C60</f>
        <v>111.32500000000003</v>
      </c>
      <c r="G74" s="71">
        <f>D60</f>
        <v>-4.33</v>
      </c>
      <c r="H74" s="69">
        <f t="shared" si="6"/>
        <v>398</v>
      </c>
      <c r="I74" s="72">
        <f t="shared" si="1"/>
        <v>0.051</v>
      </c>
      <c r="J74" s="165">
        <v>8</v>
      </c>
      <c r="K74" s="112">
        <f t="shared" si="13"/>
        <v>13.603134166801116</v>
      </c>
      <c r="L74" s="173" t="s">
        <v>78</v>
      </c>
      <c r="M74" s="65"/>
      <c r="N74" s="65"/>
      <c r="O74" s="65"/>
      <c r="P74" s="65"/>
      <c r="Q74" s="65"/>
      <c r="R74" s="65"/>
      <c r="S74" s="105"/>
      <c r="T74"/>
      <c r="U74"/>
      <c r="V74"/>
      <c r="W74"/>
      <c r="X74"/>
    </row>
    <row r="75" spans="1:24" ht="15">
      <c r="A75" s="118"/>
      <c r="B75" s="82">
        <v>31</v>
      </c>
      <c r="C75" s="76">
        <f>2*$C76+$D$37*$M$37</f>
        <v>-84.67500000000001</v>
      </c>
      <c r="D75" s="74">
        <f>$D$37</f>
        <v>5.2825999999999995</v>
      </c>
      <c r="E75" s="75">
        <f>$E$34+$G$37</f>
        <v>383</v>
      </c>
      <c r="F75" s="76">
        <f>C76</f>
        <v>-43.86245526601056</v>
      </c>
      <c r="G75" s="74">
        <f aca="true" t="shared" si="14" ref="G75:G81">-F75*$M$34</f>
        <v>75.97200106544733</v>
      </c>
      <c r="H75" s="75">
        <f>$E$34+$G$37</f>
        <v>383</v>
      </c>
      <c r="I75" s="77">
        <f t="shared" si="1"/>
        <v>0.051</v>
      </c>
      <c r="J75" s="166">
        <v>7</v>
      </c>
      <c r="K75" s="112">
        <f t="shared" si="13"/>
        <v>11.660727066854125</v>
      </c>
      <c r="L75" s="173" t="s">
        <v>79</v>
      </c>
      <c r="M75" s="65"/>
      <c r="N75" s="65"/>
      <c r="O75" s="65"/>
      <c r="P75" s="65"/>
      <c r="Q75" s="65"/>
      <c r="R75" s="65"/>
      <c r="S75" s="105"/>
      <c r="T75"/>
      <c r="U75"/>
      <c r="V75"/>
      <c r="W75"/>
      <c r="X75"/>
    </row>
    <row r="76" spans="1:24" ht="12.75">
      <c r="A76" s="118"/>
      <c r="B76" s="82">
        <v>32</v>
      </c>
      <c r="C76" s="76">
        <f>-$M$33*(0.5*$C$37+0.25*$E$32+0.5*$D$37/$M$36)</f>
        <v>-43.86245526601056</v>
      </c>
      <c r="D76" s="74">
        <f aca="true" t="shared" si="15" ref="D76:D81">-C76*$M$34</f>
        <v>75.97200106544733</v>
      </c>
      <c r="E76" s="75">
        <f aca="true" t="shared" si="16" ref="E76:E104">$E$34+$G$37</f>
        <v>383</v>
      </c>
      <c r="F76" s="78">
        <f aca="true" t="shared" si="17" ref="F76:F81">C77</f>
        <v>-12.000000000000004</v>
      </c>
      <c r="G76" s="74">
        <f t="shared" si="14"/>
        <v>20.784609690826528</v>
      </c>
      <c r="H76" s="75">
        <f aca="true" t="shared" si="18" ref="H76:H104">$E$34+$G$37</f>
        <v>383</v>
      </c>
      <c r="I76" s="77">
        <f t="shared" si="1"/>
        <v>0.051</v>
      </c>
      <c r="J76" s="166">
        <v>5</v>
      </c>
      <c r="K76" s="112">
        <f t="shared" si="13"/>
        <v>12.744982106404223</v>
      </c>
      <c r="L76" s="6"/>
      <c r="M76" s="65"/>
      <c r="N76" s="65"/>
      <c r="O76" s="65"/>
      <c r="P76" s="65"/>
      <c r="Q76" s="65"/>
      <c r="R76" s="65"/>
      <c r="S76" s="105"/>
      <c r="T76"/>
      <c r="U76"/>
      <c r="V76"/>
      <c r="W76"/>
      <c r="X76"/>
    </row>
    <row r="77" spans="1:24" ht="12.75">
      <c r="A77" s="118"/>
      <c r="B77" s="82">
        <v>33</v>
      </c>
      <c r="C77" s="78">
        <f>-8*$E$32*$M$33+C78</f>
        <v>-12.000000000000004</v>
      </c>
      <c r="D77" s="74">
        <f t="shared" si="15"/>
        <v>20.784609690826528</v>
      </c>
      <c r="E77" s="75">
        <f t="shared" si="16"/>
        <v>383</v>
      </c>
      <c r="F77" s="78">
        <f t="shared" si="17"/>
        <v>-6.000000000000002</v>
      </c>
      <c r="G77" s="74">
        <f t="shared" si="14"/>
        <v>10.392304845413264</v>
      </c>
      <c r="H77" s="75">
        <f t="shared" si="18"/>
        <v>383</v>
      </c>
      <c r="I77" s="77">
        <f aca="true" t="shared" si="19" ref="I77:I108">$E$33</f>
        <v>0.051</v>
      </c>
      <c r="J77" s="166">
        <v>1</v>
      </c>
      <c r="K77" s="112">
        <f t="shared" si="13"/>
        <v>12</v>
      </c>
      <c r="L77" s="13"/>
      <c r="M77" s="65"/>
      <c r="N77" s="65"/>
      <c r="O77" s="65"/>
      <c r="P77" s="65"/>
      <c r="Q77" s="65"/>
      <c r="R77" s="65"/>
      <c r="S77" s="105"/>
      <c r="T77"/>
      <c r="U77"/>
      <c r="V77"/>
      <c r="W77"/>
      <c r="X77"/>
    </row>
    <row r="78" spans="1:24" ht="12.75">
      <c r="A78" s="118" t="s">
        <v>31</v>
      </c>
      <c r="B78" s="82">
        <v>34</v>
      </c>
      <c r="C78" s="78">
        <f>-4*$E$32*$M$33+C79</f>
        <v>-6.000000000000002</v>
      </c>
      <c r="D78" s="74">
        <f t="shared" si="15"/>
        <v>10.392304845413264</v>
      </c>
      <c r="E78" s="75">
        <f t="shared" si="16"/>
        <v>383</v>
      </c>
      <c r="F78" s="78">
        <f t="shared" si="17"/>
        <v>-3.000000000000001</v>
      </c>
      <c r="G78" s="74">
        <f t="shared" si="14"/>
        <v>5.196152422706632</v>
      </c>
      <c r="H78" s="75">
        <f t="shared" si="18"/>
        <v>383</v>
      </c>
      <c r="I78" s="77">
        <f t="shared" si="19"/>
        <v>0.051</v>
      </c>
      <c r="J78" s="166">
        <v>1</v>
      </c>
      <c r="K78" s="112">
        <f t="shared" si="13"/>
        <v>6</v>
      </c>
      <c r="L78" s="65"/>
      <c r="M78" s="65"/>
      <c r="N78" s="65"/>
      <c r="O78" s="65"/>
      <c r="P78" s="65"/>
      <c r="Q78" s="65"/>
      <c r="R78" s="65"/>
      <c r="S78" s="105"/>
      <c r="T78"/>
      <c r="U78"/>
      <c r="V78"/>
      <c r="W78"/>
      <c r="X78"/>
    </row>
    <row r="79" spans="1:24" ht="12.75">
      <c r="A79" s="118"/>
      <c r="B79" s="82">
        <v>35</v>
      </c>
      <c r="C79" s="78">
        <f>-2*$E$32*$M$33+C80</f>
        <v>-3.000000000000001</v>
      </c>
      <c r="D79" s="74">
        <f t="shared" si="15"/>
        <v>5.196152422706632</v>
      </c>
      <c r="E79" s="75">
        <f t="shared" si="16"/>
        <v>383</v>
      </c>
      <c r="F79" s="78">
        <f t="shared" si="17"/>
        <v>-1.5000000000000004</v>
      </c>
      <c r="G79" s="74">
        <f t="shared" si="14"/>
        <v>2.598076211353316</v>
      </c>
      <c r="H79" s="75">
        <f t="shared" si="18"/>
        <v>383</v>
      </c>
      <c r="I79" s="77">
        <f t="shared" si="19"/>
        <v>0.051</v>
      </c>
      <c r="J79" s="166">
        <v>1</v>
      </c>
      <c r="K79" s="112">
        <f t="shared" si="13"/>
        <v>3</v>
      </c>
      <c r="L79" s="65"/>
      <c r="M79" s="65"/>
      <c r="N79" s="65"/>
      <c r="O79" s="65"/>
      <c r="P79" s="65"/>
      <c r="Q79" s="65"/>
      <c r="R79" s="65"/>
      <c r="S79" s="105"/>
      <c r="T79"/>
      <c r="U79"/>
      <c r="V79"/>
      <c r="W79"/>
      <c r="X79"/>
    </row>
    <row r="80" spans="1:24" ht="12.75">
      <c r="A80" s="118"/>
      <c r="B80" s="82">
        <v>36</v>
      </c>
      <c r="C80" s="78">
        <f>-$E$32*$M$33+C81</f>
        <v>-1.5000000000000004</v>
      </c>
      <c r="D80" s="74">
        <f t="shared" si="15"/>
        <v>2.598076211353316</v>
      </c>
      <c r="E80" s="75">
        <f t="shared" si="16"/>
        <v>383</v>
      </c>
      <c r="F80" s="78">
        <f t="shared" si="17"/>
        <v>-0.7500000000000002</v>
      </c>
      <c r="G80" s="74">
        <f t="shared" si="14"/>
        <v>1.299038105676658</v>
      </c>
      <c r="H80" s="75">
        <f t="shared" si="18"/>
        <v>383</v>
      </c>
      <c r="I80" s="77">
        <f t="shared" si="19"/>
        <v>0.051</v>
      </c>
      <c r="J80" s="166">
        <v>1</v>
      </c>
      <c r="K80" s="112">
        <f t="shared" si="13"/>
        <v>1.5</v>
      </c>
      <c r="L80" s="65"/>
      <c r="M80" s="65"/>
      <c r="N80" s="65"/>
      <c r="O80" s="65"/>
      <c r="P80" s="65"/>
      <c r="Q80" s="65"/>
      <c r="R80" s="65"/>
      <c r="S80" s="105"/>
      <c r="T80"/>
      <c r="U80"/>
      <c r="V80"/>
      <c r="W80"/>
      <c r="X80"/>
    </row>
    <row r="81" spans="1:24" ht="12.75">
      <c r="A81" s="118"/>
      <c r="B81" s="82">
        <v>37</v>
      </c>
      <c r="C81" s="78">
        <f>-$E$32*0.5*$M$33+C82</f>
        <v>-0.7500000000000002</v>
      </c>
      <c r="D81" s="74">
        <f t="shared" si="15"/>
        <v>1.299038105676658</v>
      </c>
      <c r="E81" s="75">
        <f t="shared" si="16"/>
        <v>383</v>
      </c>
      <c r="F81" s="78">
        <f t="shared" si="17"/>
        <v>-0.3750000000000001</v>
      </c>
      <c r="G81" s="74">
        <f t="shared" si="14"/>
        <v>0.649519052838329</v>
      </c>
      <c r="H81" s="75">
        <f t="shared" si="18"/>
        <v>383</v>
      </c>
      <c r="I81" s="77">
        <f t="shared" si="19"/>
        <v>0.051</v>
      </c>
      <c r="J81" s="166">
        <v>1</v>
      </c>
      <c r="K81" s="112">
        <f t="shared" si="13"/>
        <v>0.75</v>
      </c>
      <c r="L81" s="65"/>
      <c r="M81" s="65"/>
      <c r="N81" s="65"/>
      <c r="O81" s="65"/>
      <c r="P81" s="65"/>
      <c r="Q81" s="65"/>
      <c r="R81" s="65"/>
      <c r="S81" s="105"/>
      <c r="T81"/>
      <c r="U81"/>
      <c r="V81"/>
      <c r="W81"/>
      <c r="X81"/>
    </row>
    <row r="82" spans="1:24" ht="12.75">
      <c r="A82" s="119" t="s">
        <v>35</v>
      </c>
      <c r="B82" s="88">
        <v>38</v>
      </c>
      <c r="C82" s="78">
        <f>-$E$32*0.5*$M$33</f>
        <v>-0.3750000000000001</v>
      </c>
      <c r="D82" s="74">
        <f>$E$32*0.5*$M$32</f>
        <v>0.649519052838329</v>
      </c>
      <c r="E82" s="75">
        <f t="shared" si="16"/>
        <v>383</v>
      </c>
      <c r="F82" s="78">
        <f>$E$32*0.5*$M$33</f>
        <v>0.3750000000000001</v>
      </c>
      <c r="G82" s="74">
        <f>$E$32*0.5*$M$32</f>
        <v>0.649519052838329</v>
      </c>
      <c r="H82" s="75">
        <f t="shared" si="18"/>
        <v>383</v>
      </c>
      <c r="I82" s="77">
        <f t="shared" si="19"/>
        <v>0.051</v>
      </c>
      <c r="J82" s="166">
        <v>1</v>
      </c>
      <c r="K82" s="120">
        <f>-(C82-F82)</f>
        <v>0.7500000000000002</v>
      </c>
      <c r="L82" s="65"/>
      <c r="M82" s="65"/>
      <c r="N82" s="65"/>
      <c r="O82" s="65"/>
      <c r="P82" s="65"/>
      <c r="Q82" s="65"/>
      <c r="R82" s="65"/>
      <c r="S82" s="105"/>
      <c r="T82"/>
      <c r="U82"/>
      <c r="V82"/>
      <c r="W82"/>
      <c r="X82"/>
    </row>
    <row r="83" spans="1:24" ht="12.75">
      <c r="A83" s="118"/>
      <c r="B83" s="82">
        <v>39</v>
      </c>
      <c r="C83" s="78">
        <f aca="true" t="shared" si="20" ref="C83:C89">F82</f>
        <v>0.3750000000000001</v>
      </c>
      <c r="D83" s="74">
        <f aca="true" t="shared" si="21" ref="D83:D89">G82</f>
        <v>0.649519052838329</v>
      </c>
      <c r="E83" s="75">
        <f t="shared" si="16"/>
        <v>383</v>
      </c>
      <c r="F83" s="78">
        <f>-C81</f>
        <v>0.7500000000000002</v>
      </c>
      <c r="G83" s="74">
        <f>D81</f>
        <v>1.299038105676658</v>
      </c>
      <c r="H83" s="75">
        <f t="shared" si="18"/>
        <v>383</v>
      </c>
      <c r="I83" s="77">
        <f t="shared" si="19"/>
        <v>0.051</v>
      </c>
      <c r="J83" s="166">
        <v>1</v>
      </c>
      <c r="K83" s="112">
        <f aca="true" t="shared" si="22" ref="K83:K96">-(C83-F83)/($M$33*J83)</f>
        <v>0.75</v>
      </c>
      <c r="L83" s="65"/>
      <c r="M83" s="65"/>
      <c r="N83" s="65"/>
      <c r="O83" s="65"/>
      <c r="P83" s="65"/>
      <c r="Q83" s="65"/>
      <c r="R83" s="65"/>
      <c r="S83" s="105"/>
      <c r="T83"/>
      <c r="U83"/>
      <c r="V83"/>
      <c r="W83"/>
      <c r="X83"/>
    </row>
    <row r="84" spans="1:24" ht="12.75">
      <c r="A84" s="118"/>
      <c r="B84" s="82">
        <v>40</v>
      </c>
      <c r="C84" s="78">
        <f t="shared" si="20"/>
        <v>0.7500000000000002</v>
      </c>
      <c r="D84" s="74">
        <f t="shared" si="21"/>
        <v>1.299038105676658</v>
      </c>
      <c r="E84" s="75">
        <f t="shared" si="16"/>
        <v>383</v>
      </c>
      <c r="F84" s="78">
        <f>-C80</f>
        <v>1.5000000000000004</v>
      </c>
      <c r="G84" s="74">
        <f>D80</f>
        <v>2.598076211353316</v>
      </c>
      <c r="H84" s="75">
        <f t="shared" si="18"/>
        <v>383</v>
      </c>
      <c r="I84" s="77">
        <f t="shared" si="19"/>
        <v>0.051</v>
      </c>
      <c r="J84" s="166">
        <v>1</v>
      </c>
      <c r="K84" s="112">
        <f t="shared" si="22"/>
        <v>1.5</v>
      </c>
      <c r="L84" s="65"/>
      <c r="M84" s="65"/>
      <c r="N84" s="65"/>
      <c r="O84" s="65"/>
      <c r="P84" s="65"/>
      <c r="Q84" s="65"/>
      <c r="R84" s="65"/>
      <c r="S84" s="105"/>
      <c r="T84"/>
      <c r="U84"/>
      <c r="V84"/>
      <c r="W84"/>
      <c r="X84"/>
    </row>
    <row r="85" spans="1:24" ht="12.75">
      <c r="A85" s="118"/>
      <c r="B85" s="82">
        <v>41</v>
      </c>
      <c r="C85" s="78">
        <f t="shared" si="20"/>
        <v>1.5000000000000004</v>
      </c>
      <c r="D85" s="74">
        <f t="shared" si="21"/>
        <v>2.598076211353316</v>
      </c>
      <c r="E85" s="75">
        <f t="shared" si="16"/>
        <v>383</v>
      </c>
      <c r="F85" s="78">
        <f>-C79</f>
        <v>3.000000000000001</v>
      </c>
      <c r="G85" s="74">
        <f>D79</f>
        <v>5.196152422706632</v>
      </c>
      <c r="H85" s="75">
        <f t="shared" si="18"/>
        <v>383</v>
      </c>
      <c r="I85" s="77">
        <f t="shared" si="19"/>
        <v>0.051</v>
      </c>
      <c r="J85" s="166">
        <v>1</v>
      </c>
      <c r="K85" s="112">
        <f t="shared" si="22"/>
        <v>3</v>
      </c>
      <c r="L85" s="6"/>
      <c r="M85" s="65"/>
      <c r="N85" s="65"/>
      <c r="O85" s="65"/>
      <c r="P85" s="65"/>
      <c r="Q85" s="65"/>
      <c r="R85" s="65"/>
      <c r="S85" s="105"/>
      <c r="T85"/>
      <c r="U85"/>
      <c r="V85"/>
      <c r="W85"/>
      <c r="X85"/>
    </row>
    <row r="86" spans="1:24" ht="12.75">
      <c r="A86" s="118" t="s">
        <v>32</v>
      </c>
      <c r="B86" s="82">
        <v>42</v>
      </c>
      <c r="C86" s="78">
        <f t="shared" si="20"/>
        <v>3.000000000000001</v>
      </c>
      <c r="D86" s="74">
        <f t="shared" si="21"/>
        <v>5.196152422706632</v>
      </c>
      <c r="E86" s="75">
        <f t="shared" si="16"/>
        <v>383</v>
      </c>
      <c r="F86" s="78">
        <f>-C78</f>
        <v>6.000000000000002</v>
      </c>
      <c r="G86" s="74">
        <f>D78</f>
        <v>10.392304845413264</v>
      </c>
      <c r="H86" s="75">
        <f t="shared" si="18"/>
        <v>383</v>
      </c>
      <c r="I86" s="77">
        <f t="shared" si="19"/>
        <v>0.051</v>
      </c>
      <c r="J86" s="166">
        <v>1</v>
      </c>
      <c r="K86" s="112">
        <f t="shared" si="22"/>
        <v>6</v>
      </c>
      <c r="L86" s="6"/>
      <c r="M86" s="65"/>
      <c r="N86" s="65"/>
      <c r="O86" s="65"/>
      <c r="P86" s="65"/>
      <c r="Q86" s="65"/>
      <c r="R86" s="65"/>
      <c r="S86" s="105"/>
      <c r="T86"/>
      <c r="U86"/>
      <c r="V86"/>
      <c r="W86"/>
      <c r="X86"/>
    </row>
    <row r="87" spans="1:24" ht="12.75">
      <c r="A87" s="118"/>
      <c r="B87" s="82">
        <v>43</v>
      </c>
      <c r="C87" s="78">
        <f t="shared" si="20"/>
        <v>6.000000000000002</v>
      </c>
      <c r="D87" s="74">
        <f t="shared" si="21"/>
        <v>10.392304845413264</v>
      </c>
      <c r="E87" s="75">
        <f t="shared" si="16"/>
        <v>383</v>
      </c>
      <c r="F87" s="78">
        <f>-C77</f>
        <v>12.000000000000004</v>
      </c>
      <c r="G87" s="74">
        <f>D77</f>
        <v>20.784609690826528</v>
      </c>
      <c r="H87" s="75">
        <f t="shared" si="18"/>
        <v>383</v>
      </c>
      <c r="I87" s="77">
        <f t="shared" si="19"/>
        <v>0.051</v>
      </c>
      <c r="J87" s="166">
        <v>1</v>
      </c>
      <c r="K87" s="112">
        <f t="shared" si="22"/>
        <v>12</v>
      </c>
      <c r="M87" s="65"/>
      <c r="N87" s="65"/>
      <c r="O87" s="65"/>
      <c r="P87" s="65"/>
      <c r="Q87" s="65"/>
      <c r="R87" s="65"/>
      <c r="S87" s="105"/>
      <c r="T87"/>
      <c r="U87"/>
      <c r="V87"/>
      <c r="W87"/>
      <c r="X87"/>
    </row>
    <row r="88" spans="1:24" ht="15">
      <c r="A88" s="118"/>
      <c r="B88" s="82">
        <v>44</v>
      </c>
      <c r="C88" s="78">
        <f t="shared" si="20"/>
        <v>12.000000000000004</v>
      </c>
      <c r="D88" s="74">
        <f t="shared" si="21"/>
        <v>20.784609690826528</v>
      </c>
      <c r="E88" s="75">
        <f t="shared" si="16"/>
        <v>383</v>
      </c>
      <c r="F88" s="76">
        <f>-C76</f>
        <v>43.86245526601056</v>
      </c>
      <c r="G88" s="74">
        <f>D76</f>
        <v>75.97200106544733</v>
      </c>
      <c r="H88" s="75">
        <f t="shared" si="18"/>
        <v>383</v>
      </c>
      <c r="I88" s="77">
        <f t="shared" si="19"/>
        <v>0.051</v>
      </c>
      <c r="J88" s="166">
        <v>5</v>
      </c>
      <c r="K88" s="112">
        <f t="shared" si="22"/>
        <v>12.744982106404223</v>
      </c>
      <c r="L88" s="174" t="s">
        <v>80</v>
      </c>
      <c r="M88" s="65"/>
      <c r="N88" s="65"/>
      <c r="O88" s="65"/>
      <c r="P88" s="65"/>
      <c r="Q88" s="65"/>
      <c r="R88" s="65"/>
      <c r="S88" s="105"/>
      <c r="T88"/>
      <c r="U88"/>
      <c r="V88"/>
      <c r="W88"/>
      <c r="X88"/>
    </row>
    <row r="89" spans="1:24" ht="15">
      <c r="A89" s="118"/>
      <c r="B89" s="82">
        <v>45</v>
      </c>
      <c r="C89" s="76">
        <f t="shared" si="20"/>
        <v>43.86245526601056</v>
      </c>
      <c r="D89" s="74">
        <f t="shared" si="21"/>
        <v>75.97200106544733</v>
      </c>
      <c r="E89" s="75">
        <f t="shared" si="16"/>
        <v>383</v>
      </c>
      <c r="F89" s="76">
        <f>-C75</f>
        <v>84.67500000000001</v>
      </c>
      <c r="G89" s="74">
        <f>D75</f>
        <v>5.2825999999999995</v>
      </c>
      <c r="H89" s="75">
        <f t="shared" si="18"/>
        <v>383</v>
      </c>
      <c r="I89" s="77">
        <f t="shared" si="19"/>
        <v>0.051</v>
      </c>
      <c r="J89" s="166">
        <v>7</v>
      </c>
      <c r="K89" s="112">
        <f t="shared" si="22"/>
        <v>11.660727066854125</v>
      </c>
      <c r="L89" s="174" t="s">
        <v>81</v>
      </c>
      <c r="M89" s="65"/>
      <c r="N89" s="65"/>
      <c r="O89" s="65"/>
      <c r="P89" s="65"/>
      <c r="Q89" s="65"/>
      <c r="R89" s="65"/>
      <c r="S89" s="105"/>
      <c r="T89"/>
      <c r="U89"/>
      <c r="V89"/>
      <c r="W89"/>
      <c r="X89"/>
    </row>
    <row r="90" spans="1:24" ht="15">
      <c r="A90" s="121"/>
      <c r="B90" s="82">
        <v>46</v>
      </c>
      <c r="C90" s="76">
        <f>2*$C91+$F$37*$M$37</f>
        <v>-86.37500000000001</v>
      </c>
      <c r="D90" s="74">
        <f>-$F$36</f>
        <v>-4.33</v>
      </c>
      <c r="E90" s="75">
        <f t="shared" si="16"/>
        <v>383</v>
      </c>
      <c r="F90" s="76">
        <f>C91</f>
        <v>-44.187470666236436</v>
      </c>
      <c r="G90" s="74">
        <f aca="true" t="shared" si="23" ref="G90:G96">F90*$M$34</f>
        <v>-76.53494425188087</v>
      </c>
      <c r="H90" s="75">
        <f t="shared" si="18"/>
        <v>383</v>
      </c>
      <c r="I90" s="77">
        <f t="shared" si="19"/>
        <v>0.051</v>
      </c>
      <c r="J90" s="166">
        <v>7</v>
      </c>
      <c r="K90" s="112">
        <f t="shared" si="22"/>
        <v>12.053579809646733</v>
      </c>
      <c r="L90" s="174" t="s">
        <v>71</v>
      </c>
      <c r="M90" s="65"/>
      <c r="N90" s="65"/>
      <c r="O90" s="65"/>
      <c r="P90" s="65"/>
      <c r="Q90" s="65"/>
      <c r="R90" s="65"/>
      <c r="S90" s="105"/>
      <c r="T90"/>
      <c r="U90"/>
      <c r="V90"/>
      <c r="W90"/>
      <c r="X90"/>
    </row>
    <row r="91" spans="1:24" ht="12.75">
      <c r="A91" s="121"/>
      <c r="B91" s="82">
        <v>47</v>
      </c>
      <c r="C91" s="76">
        <f>-$M$33*(0.5*$E$37+0.25*$E$32+0.5*$F$37/$M$36)</f>
        <v>-44.187470666236436</v>
      </c>
      <c r="D91" s="74">
        <f aca="true" t="shared" si="24" ref="D91:D96">C91*$M$34</f>
        <v>-76.53494425188087</v>
      </c>
      <c r="E91" s="75">
        <f t="shared" si="16"/>
        <v>383</v>
      </c>
      <c r="F91" s="78">
        <f aca="true" t="shared" si="25" ref="F91:F96">C92</f>
        <v>-12.000000000000004</v>
      </c>
      <c r="G91" s="74">
        <f t="shared" si="23"/>
        <v>-20.784609690826528</v>
      </c>
      <c r="H91" s="75">
        <f t="shared" si="18"/>
        <v>383</v>
      </c>
      <c r="I91" s="77">
        <f t="shared" si="19"/>
        <v>0.051</v>
      </c>
      <c r="J91" s="166">
        <v>5</v>
      </c>
      <c r="K91" s="112">
        <f t="shared" si="22"/>
        <v>12.874988266494572</v>
      </c>
      <c r="L91" s="6"/>
      <c r="M91" s="6"/>
      <c r="N91" s="65"/>
      <c r="O91" s="65"/>
      <c r="P91" s="65"/>
      <c r="Q91" s="65"/>
      <c r="R91" s="65"/>
      <c r="S91" s="105"/>
      <c r="T91"/>
      <c r="U91"/>
      <c r="V91"/>
      <c r="W91"/>
      <c r="X91"/>
    </row>
    <row r="92" spans="1:24" ht="14.25">
      <c r="A92" s="121" t="s">
        <v>31</v>
      </c>
      <c r="B92" s="82">
        <v>48</v>
      </c>
      <c r="C92" s="78">
        <f>-8*$E$32*$M$33+C93</f>
        <v>-12.000000000000004</v>
      </c>
      <c r="D92" s="74">
        <f t="shared" si="24"/>
        <v>-20.784609690826528</v>
      </c>
      <c r="E92" s="75">
        <f t="shared" si="16"/>
        <v>383</v>
      </c>
      <c r="F92" s="78">
        <f t="shared" si="25"/>
        <v>-6.000000000000002</v>
      </c>
      <c r="G92" s="74">
        <f t="shared" si="23"/>
        <v>-10.392304845413264</v>
      </c>
      <c r="H92" s="75">
        <f t="shared" si="18"/>
        <v>383</v>
      </c>
      <c r="I92" s="77">
        <f t="shared" si="19"/>
        <v>0.051</v>
      </c>
      <c r="J92" s="166">
        <v>1</v>
      </c>
      <c r="K92" s="112">
        <f t="shared" si="22"/>
        <v>12</v>
      </c>
      <c r="L92" s="172"/>
      <c r="M92" s="6"/>
      <c r="N92" s="65"/>
      <c r="O92" s="65"/>
      <c r="P92" s="65"/>
      <c r="Q92" s="65"/>
      <c r="R92" s="65"/>
      <c r="S92" s="105"/>
      <c r="T92"/>
      <c r="U92"/>
      <c r="V92"/>
      <c r="W92"/>
      <c r="X92"/>
    </row>
    <row r="93" spans="1:24" ht="12.75">
      <c r="A93" s="121"/>
      <c r="B93" s="82">
        <v>49</v>
      </c>
      <c r="C93" s="78">
        <f>-4*$E$32*$M$33+C94</f>
        <v>-6.000000000000002</v>
      </c>
      <c r="D93" s="74">
        <f t="shared" si="24"/>
        <v>-10.392304845413264</v>
      </c>
      <c r="E93" s="75">
        <f t="shared" si="16"/>
        <v>383</v>
      </c>
      <c r="F93" s="78">
        <f t="shared" si="25"/>
        <v>-3.000000000000001</v>
      </c>
      <c r="G93" s="74">
        <f t="shared" si="23"/>
        <v>-5.196152422706632</v>
      </c>
      <c r="H93" s="75">
        <f t="shared" si="18"/>
        <v>383</v>
      </c>
      <c r="I93" s="77">
        <f t="shared" si="19"/>
        <v>0.051</v>
      </c>
      <c r="J93" s="166">
        <v>1</v>
      </c>
      <c r="K93" s="112">
        <f t="shared" si="22"/>
        <v>6</v>
      </c>
      <c r="L93" s="65"/>
      <c r="M93" s="65"/>
      <c r="N93" s="65"/>
      <c r="O93" s="65"/>
      <c r="P93" s="65"/>
      <c r="Q93" s="65"/>
      <c r="R93" s="65"/>
      <c r="S93" s="105"/>
      <c r="T93"/>
      <c r="U93"/>
      <c r="V93"/>
      <c r="W93"/>
      <c r="X93"/>
    </row>
    <row r="94" spans="1:24" ht="12.75">
      <c r="A94" s="121"/>
      <c r="B94" s="82">
        <v>50</v>
      </c>
      <c r="C94" s="78">
        <f>-2*$E$32*$M$33+C95</f>
        <v>-3.000000000000001</v>
      </c>
      <c r="D94" s="74">
        <f t="shared" si="24"/>
        <v>-5.196152422706632</v>
      </c>
      <c r="E94" s="75">
        <f t="shared" si="16"/>
        <v>383</v>
      </c>
      <c r="F94" s="78">
        <f t="shared" si="25"/>
        <v>-1.5000000000000004</v>
      </c>
      <c r="G94" s="74">
        <f t="shared" si="23"/>
        <v>-2.598076211353316</v>
      </c>
      <c r="H94" s="75">
        <f t="shared" si="18"/>
        <v>383</v>
      </c>
      <c r="I94" s="77">
        <f t="shared" si="19"/>
        <v>0.051</v>
      </c>
      <c r="J94" s="166">
        <v>1</v>
      </c>
      <c r="K94" s="112">
        <f t="shared" si="22"/>
        <v>3</v>
      </c>
      <c r="L94" s="65"/>
      <c r="M94" s="65"/>
      <c r="N94" s="65"/>
      <c r="O94" s="65"/>
      <c r="P94" s="65"/>
      <c r="Q94" s="65"/>
      <c r="R94" s="65"/>
      <c r="S94" s="105"/>
      <c r="T94"/>
      <c r="U94"/>
      <c r="V94"/>
      <c r="W94"/>
      <c r="X94"/>
    </row>
    <row r="95" spans="1:24" ht="12.75">
      <c r="A95" s="121"/>
      <c r="B95" s="82">
        <v>51</v>
      </c>
      <c r="C95" s="78">
        <f>-$E$32*$M$33+C96</f>
        <v>-1.5000000000000004</v>
      </c>
      <c r="D95" s="74">
        <f t="shared" si="24"/>
        <v>-2.598076211353316</v>
      </c>
      <c r="E95" s="75">
        <f t="shared" si="16"/>
        <v>383</v>
      </c>
      <c r="F95" s="78">
        <f t="shared" si="25"/>
        <v>-0.7500000000000002</v>
      </c>
      <c r="G95" s="74">
        <f t="shared" si="23"/>
        <v>-1.299038105676658</v>
      </c>
      <c r="H95" s="75">
        <f t="shared" si="18"/>
        <v>383</v>
      </c>
      <c r="I95" s="77">
        <f t="shared" si="19"/>
        <v>0.051</v>
      </c>
      <c r="J95" s="166">
        <v>1</v>
      </c>
      <c r="K95" s="112">
        <f t="shared" si="22"/>
        <v>1.5</v>
      </c>
      <c r="L95" s="65"/>
      <c r="M95" s="65"/>
      <c r="N95" s="65"/>
      <c r="O95" s="65"/>
      <c r="P95" s="65"/>
      <c r="Q95" s="65"/>
      <c r="R95" s="65"/>
      <c r="S95" s="105"/>
      <c r="T95"/>
      <c r="U95"/>
      <c r="V95"/>
      <c r="W95"/>
      <c r="X95"/>
    </row>
    <row r="96" spans="1:24" ht="12.75">
      <c r="A96" s="121"/>
      <c r="B96" s="82">
        <v>52</v>
      </c>
      <c r="C96" s="78">
        <f>-$E$32*0.5*$M$33+C97</f>
        <v>-0.7500000000000002</v>
      </c>
      <c r="D96" s="74">
        <f t="shared" si="24"/>
        <v>-1.299038105676658</v>
      </c>
      <c r="E96" s="75">
        <f t="shared" si="16"/>
        <v>383</v>
      </c>
      <c r="F96" s="78">
        <f t="shared" si="25"/>
        <v>-0.3750000000000001</v>
      </c>
      <c r="G96" s="74">
        <f t="shared" si="23"/>
        <v>-0.649519052838329</v>
      </c>
      <c r="H96" s="75">
        <f t="shared" si="18"/>
        <v>383</v>
      </c>
      <c r="I96" s="77">
        <f t="shared" si="19"/>
        <v>0.051</v>
      </c>
      <c r="J96" s="166">
        <v>1</v>
      </c>
      <c r="K96" s="112">
        <f t="shared" si="22"/>
        <v>0.75</v>
      </c>
      <c r="L96" s="65"/>
      <c r="M96" s="65"/>
      <c r="N96" s="65"/>
      <c r="O96" s="65"/>
      <c r="P96" s="65"/>
      <c r="Q96" s="65"/>
      <c r="R96" s="65"/>
      <c r="S96" s="105"/>
      <c r="T96"/>
      <c r="U96"/>
      <c r="V96"/>
      <c r="W96"/>
      <c r="X96"/>
    </row>
    <row r="97" spans="1:24" ht="12.75">
      <c r="A97" s="122" t="s">
        <v>39</v>
      </c>
      <c r="B97" s="89">
        <v>53</v>
      </c>
      <c r="C97" s="78">
        <f>-$E$32*0.5*$M$33</f>
        <v>-0.3750000000000001</v>
      </c>
      <c r="D97" s="74">
        <f>-$E$32*0.5*$M$32</f>
        <v>-0.649519052838329</v>
      </c>
      <c r="E97" s="75">
        <f t="shared" si="16"/>
        <v>383</v>
      </c>
      <c r="F97" s="78">
        <f>$E$32*0.5*$M$33</f>
        <v>0.3750000000000001</v>
      </c>
      <c r="G97" s="74">
        <f>-$E$32*0.5*$M$32</f>
        <v>-0.649519052838329</v>
      </c>
      <c r="H97" s="75">
        <f t="shared" si="18"/>
        <v>383</v>
      </c>
      <c r="I97" s="77">
        <f t="shared" si="19"/>
        <v>0.051</v>
      </c>
      <c r="J97" s="166">
        <v>1</v>
      </c>
      <c r="K97" s="123">
        <f>-(C97-F97)</f>
        <v>0.7500000000000002</v>
      </c>
      <c r="L97" s="65"/>
      <c r="M97" s="65"/>
      <c r="N97" s="65"/>
      <c r="O97" s="65"/>
      <c r="P97" s="65"/>
      <c r="Q97" s="65"/>
      <c r="R97" s="65"/>
      <c r="S97" s="105"/>
      <c r="T97"/>
      <c r="U97"/>
      <c r="V97"/>
      <c r="W97"/>
      <c r="X97"/>
    </row>
    <row r="98" spans="1:24" ht="12.75">
      <c r="A98" s="121"/>
      <c r="B98" s="82">
        <v>54</v>
      </c>
      <c r="C98" s="78">
        <f aca="true" t="shared" si="26" ref="C98:C104">F97</f>
        <v>0.3750000000000001</v>
      </c>
      <c r="D98" s="74">
        <f aca="true" t="shared" si="27" ref="D98:D104">G97</f>
        <v>-0.649519052838329</v>
      </c>
      <c r="E98" s="75">
        <f t="shared" si="16"/>
        <v>383</v>
      </c>
      <c r="F98" s="78">
        <f>-C96</f>
        <v>0.7500000000000002</v>
      </c>
      <c r="G98" s="74">
        <f>D96</f>
        <v>-1.299038105676658</v>
      </c>
      <c r="H98" s="75">
        <f t="shared" si="18"/>
        <v>383</v>
      </c>
      <c r="I98" s="77">
        <f t="shared" si="19"/>
        <v>0.051</v>
      </c>
      <c r="J98" s="166">
        <v>1</v>
      </c>
      <c r="K98" s="112">
        <f aca="true" t="shared" si="28" ref="K98:K111">-(C98-F98)/($M$33*J98)</f>
        <v>0.75</v>
      </c>
      <c r="L98" s="65"/>
      <c r="M98" s="65"/>
      <c r="N98" s="65"/>
      <c r="O98" s="65"/>
      <c r="P98" s="65"/>
      <c r="Q98" s="65"/>
      <c r="R98" s="65"/>
      <c r="S98" s="105"/>
      <c r="T98"/>
      <c r="U98"/>
      <c r="V98"/>
      <c r="W98"/>
      <c r="X98"/>
    </row>
    <row r="99" spans="1:24" ht="12.75">
      <c r="A99" s="121"/>
      <c r="B99" s="82">
        <v>55</v>
      </c>
      <c r="C99" s="78">
        <f t="shared" si="26"/>
        <v>0.7500000000000002</v>
      </c>
      <c r="D99" s="74">
        <f t="shared" si="27"/>
        <v>-1.299038105676658</v>
      </c>
      <c r="E99" s="75">
        <f t="shared" si="16"/>
        <v>383</v>
      </c>
      <c r="F99" s="78">
        <f>-C95</f>
        <v>1.5000000000000004</v>
      </c>
      <c r="G99" s="74">
        <f>D95</f>
        <v>-2.598076211353316</v>
      </c>
      <c r="H99" s="75">
        <f t="shared" si="18"/>
        <v>383</v>
      </c>
      <c r="I99" s="77">
        <f t="shared" si="19"/>
        <v>0.051</v>
      </c>
      <c r="J99" s="166">
        <v>1</v>
      </c>
      <c r="K99" s="112">
        <f t="shared" si="28"/>
        <v>1.5</v>
      </c>
      <c r="L99" s="65"/>
      <c r="M99" s="65"/>
      <c r="N99" s="65"/>
      <c r="O99" s="65"/>
      <c r="P99" s="65"/>
      <c r="Q99" s="65"/>
      <c r="R99" s="65"/>
      <c r="S99" s="105"/>
      <c r="T99"/>
      <c r="U99"/>
      <c r="V99"/>
      <c r="W99"/>
      <c r="X99"/>
    </row>
    <row r="100" spans="1:24" ht="12.75">
      <c r="A100" s="121" t="s">
        <v>32</v>
      </c>
      <c r="B100" s="82">
        <v>56</v>
      </c>
      <c r="C100" s="78">
        <f t="shared" si="26"/>
        <v>1.5000000000000004</v>
      </c>
      <c r="D100" s="74">
        <f t="shared" si="27"/>
        <v>-2.598076211353316</v>
      </c>
      <c r="E100" s="75">
        <f t="shared" si="16"/>
        <v>383</v>
      </c>
      <c r="F100" s="78">
        <f>-C94</f>
        <v>3.000000000000001</v>
      </c>
      <c r="G100" s="74">
        <f>D94</f>
        <v>-5.196152422706632</v>
      </c>
      <c r="H100" s="75">
        <f t="shared" si="18"/>
        <v>383</v>
      </c>
      <c r="I100" s="77">
        <f t="shared" si="19"/>
        <v>0.051</v>
      </c>
      <c r="J100" s="166">
        <v>1</v>
      </c>
      <c r="K100" s="112">
        <f t="shared" si="28"/>
        <v>3</v>
      </c>
      <c r="L100" s="65"/>
      <c r="M100" s="65"/>
      <c r="N100" s="65"/>
      <c r="O100" s="65"/>
      <c r="P100" s="65"/>
      <c r="Q100" s="65"/>
      <c r="R100" s="65"/>
      <c r="S100" s="105"/>
      <c r="T100"/>
      <c r="U100"/>
      <c r="V100"/>
      <c r="W100"/>
      <c r="X100"/>
    </row>
    <row r="101" spans="1:24" ht="12.75">
      <c r="A101" s="121"/>
      <c r="B101" s="82">
        <v>57</v>
      </c>
      <c r="C101" s="78">
        <f t="shared" si="26"/>
        <v>3.000000000000001</v>
      </c>
      <c r="D101" s="74">
        <f t="shared" si="27"/>
        <v>-5.196152422706632</v>
      </c>
      <c r="E101" s="75">
        <f t="shared" si="16"/>
        <v>383</v>
      </c>
      <c r="F101" s="78">
        <f>-C93</f>
        <v>6.000000000000002</v>
      </c>
      <c r="G101" s="74">
        <f>D93</f>
        <v>-10.392304845413264</v>
      </c>
      <c r="H101" s="75">
        <f t="shared" si="18"/>
        <v>383</v>
      </c>
      <c r="I101" s="77">
        <f t="shared" si="19"/>
        <v>0.051</v>
      </c>
      <c r="J101" s="166">
        <v>1</v>
      </c>
      <c r="K101" s="112">
        <f t="shared" si="28"/>
        <v>6</v>
      </c>
      <c r="L101" s="65"/>
      <c r="M101" s="65"/>
      <c r="N101" s="65"/>
      <c r="O101" s="65"/>
      <c r="P101" s="65"/>
      <c r="Q101" s="65"/>
      <c r="R101" s="65"/>
      <c r="S101" s="105"/>
      <c r="T101"/>
      <c r="U101"/>
      <c r="V101"/>
      <c r="W101"/>
      <c r="X101"/>
    </row>
    <row r="102" spans="1:24" ht="12.75">
      <c r="A102" s="121"/>
      <c r="B102" s="82">
        <v>58</v>
      </c>
      <c r="C102" s="78">
        <f t="shared" si="26"/>
        <v>6.000000000000002</v>
      </c>
      <c r="D102" s="74">
        <f t="shared" si="27"/>
        <v>-10.392304845413264</v>
      </c>
      <c r="E102" s="75">
        <f t="shared" si="16"/>
        <v>383</v>
      </c>
      <c r="F102" s="78">
        <f>-C92</f>
        <v>12.000000000000004</v>
      </c>
      <c r="G102" s="74">
        <f>D92</f>
        <v>-20.784609690826528</v>
      </c>
      <c r="H102" s="75">
        <f t="shared" si="18"/>
        <v>383</v>
      </c>
      <c r="I102" s="77">
        <f t="shared" si="19"/>
        <v>0.051</v>
      </c>
      <c r="J102" s="166">
        <v>1</v>
      </c>
      <c r="K102" s="112">
        <f t="shared" si="28"/>
        <v>12</v>
      </c>
      <c r="L102" s="65"/>
      <c r="M102" s="65"/>
      <c r="N102" s="65"/>
      <c r="O102" s="65"/>
      <c r="P102" s="65"/>
      <c r="Q102" s="65"/>
      <c r="R102" s="65"/>
      <c r="S102" s="105"/>
      <c r="T102"/>
      <c r="U102"/>
      <c r="V102"/>
      <c r="W102"/>
      <c r="X102"/>
    </row>
    <row r="103" spans="1:24" ht="12.75">
      <c r="A103" s="121"/>
      <c r="B103" s="82">
        <v>59</v>
      </c>
      <c r="C103" s="78">
        <f t="shared" si="26"/>
        <v>12.000000000000004</v>
      </c>
      <c r="D103" s="74">
        <f t="shared" si="27"/>
        <v>-20.784609690826528</v>
      </c>
      <c r="E103" s="75">
        <f t="shared" si="16"/>
        <v>383</v>
      </c>
      <c r="F103" s="76">
        <f>-C91</f>
        <v>44.187470666236436</v>
      </c>
      <c r="G103" s="74">
        <f>D91</f>
        <v>-76.53494425188087</v>
      </c>
      <c r="H103" s="75">
        <f t="shared" si="18"/>
        <v>383</v>
      </c>
      <c r="I103" s="77">
        <f t="shared" si="19"/>
        <v>0.051</v>
      </c>
      <c r="J103" s="166">
        <v>5</v>
      </c>
      <c r="K103" s="112">
        <f t="shared" si="28"/>
        <v>12.874988266494572</v>
      </c>
      <c r="L103" s="65"/>
      <c r="M103" s="65"/>
      <c r="N103" s="65"/>
      <c r="O103" s="65"/>
      <c r="P103" s="65"/>
      <c r="Q103" s="65"/>
      <c r="R103" s="65"/>
      <c r="S103" s="105"/>
      <c r="T103"/>
      <c r="U103"/>
      <c r="V103"/>
      <c r="W103"/>
      <c r="X103"/>
    </row>
    <row r="104" spans="1:24" ht="12.75">
      <c r="A104" s="121"/>
      <c r="B104" s="82">
        <v>60</v>
      </c>
      <c r="C104" s="76">
        <f t="shared" si="26"/>
        <v>44.187470666236436</v>
      </c>
      <c r="D104" s="74">
        <f t="shared" si="27"/>
        <v>-76.53494425188087</v>
      </c>
      <c r="E104" s="75">
        <f t="shared" si="16"/>
        <v>383</v>
      </c>
      <c r="F104" s="76">
        <f>-C90</f>
        <v>86.37500000000001</v>
      </c>
      <c r="G104" s="74">
        <f>D90</f>
        <v>-4.33</v>
      </c>
      <c r="H104" s="75">
        <f t="shared" si="18"/>
        <v>383</v>
      </c>
      <c r="I104" s="77">
        <f t="shared" si="19"/>
        <v>0.051</v>
      </c>
      <c r="J104" s="166">
        <v>7</v>
      </c>
      <c r="K104" s="112">
        <f t="shared" si="28"/>
        <v>12.053579809646733</v>
      </c>
      <c r="L104" s="65"/>
      <c r="M104" s="65"/>
      <c r="N104" s="65"/>
      <c r="O104" s="65"/>
      <c r="P104" s="65"/>
      <c r="Q104" s="65"/>
      <c r="R104" s="65"/>
      <c r="S104" s="105"/>
      <c r="T104"/>
      <c r="U104"/>
      <c r="V104"/>
      <c r="W104"/>
      <c r="X104"/>
    </row>
    <row r="105" spans="1:24" ht="12.75">
      <c r="A105" s="124"/>
      <c r="B105" s="82">
        <v>61</v>
      </c>
      <c r="C105" s="83">
        <f>2*$C106+$D$38*$M$37</f>
        <v>-72.52500000000002</v>
      </c>
      <c r="D105" s="68">
        <f>$D$38</f>
        <v>4.6764</v>
      </c>
      <c r="E105" s="79">
        <f>$E$34+$G$38</f>
        <v>378</v>
      </c>
      <c r="F105" s="70">
        <f>C106</f>
        <v>-37.61246039941919</v>
      </c>
      <c r="G105" s="71">
        <f aca="true" t="shared" si="29" ref="G105:G111">-F105*$M$34</f>
        <v>65.14669240946641</v>
      </c>
      <c r="H105" s="69">
        <f>$E$34+$G$38</f>
        <v>378</v>
      </c>
      <c r="I105" s="72">
        <f t="shared" si="19"/>
        <v>0.051</v>
      </c>
      <c r="J105" s="165">
        <v>6</v>
      </c>
      <c r="K105" s="112">
        <f t="shared" si="28"/>
        <v>11.637513200193606</v>
      </c>
      <c r="L105" s="65"/>
      <c r="M105" s="65"/>
      <c r="N105" s="65"/>
      <c r="O105" s="65"/>
      <c r="P105" s="65"/>
      <c r="Q105" s="65"/>
      <c r="R105" s="65"/>
      <c r="S105" s="105"/>
      <c r="T105"/>
      <c r="U105"/>
      <c r="V105"/>
      <c r="W105"/>
      <c r="X105"/>
    </row>
    <row r="106" spans="1:24" ht="12.75">
      <c r="A106" s="124"/>
      <c r="B106" s="82">
        <v>62</v>
      </c>
      <c r="C106" s="83">
        <f>-$M$33*(0.5*$C$38+0.25*$E$32+0.5*$D$38/$M$36)</f>
        <v>-37.61246039941919</v>
      </c>
      <c r="D106" s="68">
        <f aca="true" t="shared" si="30" ref="D106:D111">-C106*$M$34</f>
        <v>65.14669240946641</v>
      </c>
      <c r="E106" s="79">
        <f aca="true" t="shared" si="31" ref="E106:E134">$E$34+$G$38</f>
        <v>378</v>
      </c>
      <c r="F106" s="73">
        <f aca="true" t="shared" si="32" ref="F106:F111">C107</f>
        <v>-12.000000000000004</v>
      </c>
      <c r="G106" s="71">
        <f t="shared" si="29"/>
        <v>20.784609690826528</v>
      </c>
      <c r="H106" s="69">
        <f aca="true" t="shared" si="33" ref="H106:H134">$E$34+$G$38</f>
        <v>378</v>
      </c>
      <c r="I106" s="72">
        <f t="shared" si="19"/>
        <v>0.051</v>
      </c>
      <c r="J106" s="165">
        <v>4</v>
      </c>
      <c r="K106" s="112">
        <f t="shared" si="28"/>
        <v>12.80623019970959</v>
      </c>
      <c r="L106" s="65"/>
      <c r="M106" s="65"/>
      <c r="N106" s="65"/>
      <c r="O106" s="65"/>
      <c r="P106" s="65"/>
      <c r="Q106" s="65"/>
      <c r="R106" s="65"/>
      <c r="S106" s="105"/>
      <c r="T106"/>
      <c r="U106"/>
      <c r="V106"/>
      <c r="W106"/>
      <c r="X106"/>
    </row>
    <row r="107" spans="1:24" ht="12.75">
      <c r="A107" s="124"/>
      <c r="B107" s="82">
        <v>63</v>
      </c>
      <c r="C107" s="86">
        <f>-8*$E$32*$M$33+C108</f>
        <v>-12.000000000000004</v>
      </c>
      <c r="D107" s="68">
        <f t="shared" si="30"/>
        <v>20.784609690826528</v>
      </c>
      <c r="E107" s="79">
        <f t="shared" si="31"/>
        <v>378</v>
      </c>
      <c r="F107" s="73">
        <f t="shared" si="32"/>
        <v>-6.000000000000002</v>
      </c>
      <c r="G107" s="71">
        <f t="shared" si="29"/>
        <v>10.392304845413264</v>
      </c>
      <c r="H107" s="69">
        <f t="shared" si="33"/>
        <v>378</v>
      </c>
      <c r="I107" s="72">
        <f t="shared" si="19"/>
        <v>0.051</v>
      </c>
      <c r="J107" s="165">
        <v>1</v>
      </c>
      <c r="K107" s="112">
        <f t="shared" si="28"/>
        <v>12</v>
      </c>
      <c r="L107" s="65"/>
      <c r="M107" s="65"/>
      <c r="N107" s="65"/>
      <c r="O107" s="65"/>
      <c r="P107" s="65"/>
      <c r="Q107" s="65"/>
      <c r="R107" s="65"/>
      <c r="S107" s="105"/>
      <c r="T107"/>
      <c r="U107"/>
      <c r="V107"/>
      <c r="W107"/>
      <c r="X107"/>
    </row>
    <row r="108" spans="1:24" ht="12.75">
      <c r="A108" s="124" t="s">
        <v>31</v>
      </c>
      <c r="B108" s="82">
        <v>64</v>
      </c>
      <c r="C108" s="86">
        <f>-4*$E$32*$M$33+C109</f>
        <v>-6.000000000000002</v>
      </c>
      <c r="D108" s="68">
        <f t="shared" si="30"/>
        <v>10.392304845413264</v>
      </c>
      <c r="E108" s="79">
        <f t="shared" si="31"/>
        <v>378</v>
      </c>
      <c r="F108" s="73">
        <f t="shared" si="32"/>
        <v>-3.000000000000001</v>
      </c>
      <c r="G108" s="71">
        <f t="shared" si="29"/>
        <v>5.196152422706632</v>
      </c>
      <c r="H108" s="69">
        <f t="shared" si="33"/>
        <v>378</v>
      </c>
      <c r="I108" s="72">
        <f t="shared" si="19"/>
        <v>0.051</v>
      </c>
      <c r="J108" s="165">
        <v>1</v>
      </c>
      <c r="K108" s="112">
        <f t="shared" si="28"/>
        <v>6</v>
      </c>
      <c r="L108" s="65"/>
      <c r="M108" s="65"/>
      <c r="N108" s="65"/>
      <c r="O108" s="65"/>
      <c r="P108" s="65"/>
      <c r="Q108" s="65"/>
      <c r="R108" s="65"/>
      <c r="S108" s="105"/>
      <c r="T108"/>
      <c r="U108"/>
      <c r="V108"/>
      <c r="W108"/>
      <c r="X108"/>
    </row>
    <row r="109" spans="1:24" ht="12.75">
      <c r="A109" s="124"/>
      <c r="B109" s="82">
        <v>65</v>
      </c>
      <c r="C109" s="86">
        <f>-2*$E$32*$M$33+C110</f>
        <v>-3.000000000000001</v>
      </c>
      <c r="D109" s="68">
        <f t="shared" si="30"/>
        <v>5.196152422706632</v>
      </c>
      <c r="E109" s="79">
        <f t="shared" si="31"/>
        <v>378</v>
      </c>
      <c r="F109" s="73">
        <f t="shared" si="32"/>
        <v>-1.5000000000000004</v>
      </c>
      <c r="G109" s="71">
        <f t="shared" si="29"/>
        <v>2.598076211353316</v>
      </c>
      <c r="H109" s="69">
        <f t="shared" si="33"/>
        <v>378</v>
      </c>
      <c r="I109" s="72">
        <f aca="true" t="shared" si="34" ref="I109:I140">$E$33</f>
        <v>0.051</v>
      </c>
      <c r="J109" s="165">
        <v>1</v>
      </c>
      <c r="K109" s="112">
        <f t="shared" si="28"/>
        <v>3</v>
      </c>
      <c r="L109" s="65"/>
      <c r="M109" s="65"/>
      <c r="N109" s="65"/>
      <c r="O109" s="65"/>
      <c r="P109" s="65"/>
      <c r="Q109" s="65"/>
      <c r="R109" s="65"/>
      <c r="S109" s="105"/>
      <c r="T109"/>
      <c r="U109"/>
      <c r="V109"/>
      <c r="W109"/>
      <c r="X109"/>
    </row>
    <row r="110" spans="1:24" ht="12.75">
      <c r="A110" s="124"/>
      <c r="B110" s="82">
        <v>66</v>
      </c>
      <c r="C110" s="86">
        <f>-$E$32*$M$33+C111</f>
        <v>-1.5000000000000004</v>
      </c>
      <c r="D110" s="68">
        <f t="shared" si="30"/>
        <v>2.598076211353316</v>
      </c>
      <c r="E110" s="79">
        <f t="shared" si="31"/>
        <v>378</v>
      </c>
      <c r="F110" s="73">
        <f t="shared" si="32"/>
        <v>-0.7500000000000002</v>
      </c>
      <c r="G110" s="71">
        <f t="shared" si="29"/>
        <v>1.299038105676658</v>
      </c>
      <c r="H110" s="69">
        <f t="shared" si="33"/>
        <v>378</v>
      </c>
      <c r="I110" s="72">
        <f t="shared" si="34"/>
        <v>0.051</v>
      </c>
      <c r="J110" s="165">
        <v>1</v>
      </c>
      <c r="K110" s="112">
        <f t="shared" si="28"/>
        <v>1.5</v>
      </c>
      <c r="L110" s="65"/>
      <c r="M110" s="65"/>
      <c r="N110" s="65"/>
      <c r="O110" s="65"/>
      <c r="P110" s="65"/>
      <c r="Q110" s="65"/>
      <c r="R110" s="65"/>
      <c r="S110" s="105"/>
      <c r="T110"/>
      <c r="U110"/>
      <c r="V110"/>
      <c r="W110"/>
      <c r="X110"/>
    </row>
    <row r="111" spans="1:24" ht="12.75">
      <c r="A111" s="124"/>
      <c r="B111" s="82">
        <v>67</v>
      </c>
      <c r="C111" s="86">
        <f>-$E$32*0.5*$M$33+C112</f>
        <v>-0.7500000000000002</v>
      </c>
      <c r="D111" s="68">
        <f t="shared" si="30"/>
        <v>1.299038105676658</v>
      </c>
      <c r="E111" s="79">
        <f t="shared" si="31"/>
        <v>378</v>
      </c>
      <c r="F111" s="73">
        <f t="shared" si="32"/>
        <v>-0.3750000000000001</v>
      </c>
      <c r="G111" s="71">
        <f t="shared" si="29"/>
        <v>0.649519052838329</v>
      </c>
      <c r="H111" s="69">
        <f t="shared" si="33"/>
        <v>378</v>
      </c>
      <c r="I111" s="72">
        <f t="shared" si="34"/>
        <v>0.051</v>
      </c>
      <c r="J111" s="165">
        <v>1</v>
      </c>
      <c r="K111" s="112">
        <f t="shared" si="28"/>
        <v>0.75</v>
      </c>
      <c r="L111" s="65"/>
      <c r="M111" s="65"/>
      <c r="N111" s="65"/>
      <c r="O111" s="65"/>
      <c r="P111" s="65"/>
      <c r="Q111" s="65"/>
      <c r="R111" s="65"/>
      <c r="S111" s="105"/>
      <c r="T111"/>
      <c r="U111"/>
      <c r="V111"/>
      <c r="W111"/>
      <c r="X111"/>
    </row>
    <row r="112" spans="1:24" ht="12.75">
      <c r="A112" s="125" t="s">
        <v>36</v>
      </c>
      <c r="B112" s="90">
        <v>68</v>
      </c>
      <c r="C112" s="86">
        <f>-$E$32*0.5*$M$33</f>
        <v>-0.3750000000000001</v>
      </c>
      <c r="D112" s="68">
        <f>$E$32*0.5*$M$32</f>
        <v>0.649519052838329</v>
      </c>
      <c r="E112" s="79">
        <f t="shared" si="31"/>
        <v>378</v>
      </c>
      <c r="F112" s="73">
        <f>$E$32*0.5*$M$33</f>
        <v>0.3750000000000001</v>
      </c>
      <c r="G112" s="71">
        <f>$E$32*0.5*$M$32</f>
        <v>0.649519052838329</v>
      </c>
      <c r="H112" s="69">
        <f t="shared" si="33"/>
        <v>378</v>
      </c>
      <c r="I112" s="72">
        <f t="shared" si="34"/>
        <v>0.051</v>
      </c>
      <c r="J112" s="165">
        <v>1</v>
      </c>
      <c r="K112" s="126">
        <f>-(C112-F112)</f>
        <v>0.7500000000000002</v>
      </c>
      <c r="L112" s="65"/>
      <c r="M112" s="65"/>
      <c r="N112" s="65"/>
      <c r="O112" s="65"/>
      <c r="P112" s="65"/>
      <c r="Q112" s="65"/>
      <c r="R112" s="65"/>
      <c r="S112" s="105"/>
      <c r="T112"/>
      <c r="U112"/>
      <c r="V112"/>
      <c r="W112"/>
      <c r="X112"/>
    </row>
    <row r="113" spans="1:24" ht="12.75">
      <c r="A113" s="124"/>
      <c r="B113" s="82">
        <v>69</v>
      </c>
      <c r="C113" s="86">
        <f aca="true" t="shared" si="35" ref="C113:C119">F112</f>
        <v>0.3750000000000001</v>
      </c>
      <c r="D113" s="68">
        <f aca="true" t="shared" si="36" ref="D113:D119">G112</f>
        <v>0.649519052838329</v>
      </c>
      <c r="E113" s="79">
        <f t="shared" si="31"/>
        <v>378</v>
      </c>
      <c r="F113" s="73">
        <f>-C111</f>
        <v>0.7500000000000002</v>
      </c>
      <c r="G113" s="71">
        <f>D111</f>
        <v>1.299038105676658</v>
      </c>
      <c r="H113" s="69">
        <f t="shared" si="33"/>
        <v>378</v>
      </c>
      <c r="I113" s="72">
        <f t="shared" si="34"/>
        <v>0.051</v>
      </c>
      <c r="J113" s="165">
        <v>1</v>
      </c>
      <c r="K113" s="112">
        <f aca="true" t="shared" si="37" ref="K113:K126">-(C113-F113)/($M$33*J113)</f>
        <v>0.75</v>
      </c>
      <c r="L113" s="65"/>
      <c r="M113" s="65"/>
      <c r="N113" s="65"/>
      <c r="O113" s="65"/>
      <c r="P113" s="65"/>
      <c r="Q113" s="65"/>
      <c r="R113" s="65"/>
      <c r="S113" s="105"/>
      <c r="T113"/>
      <c r="U113"/>
      <c r="V113"/>
      <c r="W113"/>
      <c r="X113"/>
    </row>
    <row r="114" spans="1:24" ht="12.75">
      <c r="A114" s="124"/>
      <c r="B114" s="82">
        <v>70</v>
      </c>
      <c r="C114" s="86">
        <f t="shared" si="35"/>
        <v>0.7500000000000002</v>
      </c>
      <c r="D114" s="68">
        <f t="shared" si="36"/>
        <v>1.299038105676658</v>
      </c>
      <c r="E114" s="79">
        <f t="shared" si="31"/>
        <v>378</v>
      </c>
      <c r="F114" s="73">
        <f>-C110</f>
        <v>1.5000000000000004</v>
      </c>
      <c r="G114" s="71">
        <f>D110</f>
        <v>2.598076211353316</v>
      </c>
      <c r="H114" s="69">
        <f t="shared" si="33"/>
        <v>378</v>
      </c>
      <c r="I114" s="72">
        <f t="shared" si="34"/>
        <v>0.051</v>
      </c>
      <c r="J114" s="165">
        <v>1</v>
      </c>
      <c r="K114" s="112">
        <f t="shared" si="37"/>
        <v>1.5</v>
      </c>
      <c r="L114" s="65"/>
      <c r="M114" s="65"/>
      <c r="N114" s="65"/>
      <c r="O114" s="65"/>
      <c r="P114" s="65"/>
      <c r="Q114" s="65"/>
      <c r="R114" s="65"/>
      <c r="S114" s="105"/>
      <c r="T114"/>
      <c r="U114"/>
      <c r="V114"/>
      <c r="W114"/>
      <c r="X114"/>
    </row>
    <row r="115" spans="1:24" ht="12.75">
      <c r="A115" s="124"/>
      <c r="B115" s="82">
        <v>71</v>
      </c>
      <c r="C115" s="86">
        <f t="shared" si="35"/>
        <v>1.5000000000000004</v>
      </c>
      <c r="D115" s="68">
        <f t="shared" si="36"/>
        <v>2.598076211353316</v>
      </c>
      <c r="E115" s="79">
        <f t="shared" si="31"/>
        <v>378</v>
      </c>
      <c r="F115" s="73">
        <f>-C109</f>
        <v>3.000000000000001</v>
      </c>
      <c r="G115" s="71">
        <f>D109</f>
        <v>5.196152422706632</v>
      </c>
      <c r="H115" s="69">
        <f t="shared" si="33"/>
        <v>378</v>
      </c>
      <c r="I115" s="72">
        <f t="shared" si="34"/>
        <v>0.051</v>
      </c>
      <c r="J115" s="165">
        <v>1</v>
      </c>
      <c r="K115" s="112">
        <f t="shared" si="37"/>
        <v>3</v>
      </c>
      <c r="L115" s="65"/>
      <c r="M115" s="65"/>
      <c r="N115" s="65"/>
      <c r="O115" s="65"/>
      <c r="P115" s="65"/>
      <c r="Q115" s="65"/>
      <c r="R115" s="65"/>
      <c r="S115" s="105"/>
      <c r="T115"/>
      <c r="U115"/>
      <c r="V115"/>
      <c r="W115"/>
      <c r="X115"/>
    </row>
    <row r="116" spans="1:24" ht="12.75">
      <c r="A116" s="124" t="s">
        <v>32</v>
      </c>
      <c r="B116" s="82">
        <v>72</v>
      </c>
      <c r="C116" s="86">
        <f t="shared" si="35"/>
        <v>3.000000000000001</v>
      </c>
      <c r="D116" s="68">
        <f t="shared" si="36"/>
        <v>5.196152422706632</v>
      </c>
      <c r="E116" s="79">
        <f t="shared" si="31"/>
        <v>378</v>
      </c>
      <c r="F116" s="73">
        <f>-C108</f>
        <v>6.000000000000002</v>
      </c>
      <c r="G116" s="71">
        <f>D108</f>
        <v>10.392304845413264</v>
      </c>
      <c r="H116" s="69">
        <f t="shared" si="33"/>
        <v>378</v>
      </c>
      <c r="I116" s="72">
        <f t="shared" si="34"/>
        <v>0.051</v>
      </c>
      <c r="J116" s="165">
        <v>1</v>
      </c>
      <c r="K116" s="112">
        <f t="shared" si="37"/>
        <v>6</v>
      </c>
      <c r="L116" s="65"/>
      <c r="M116" s="65"/>
      <c r="N116" s="65"/>
      <c r="O116" s="65"/>
      <c r="P116" s="65"/>
      <c r="Q116" s="65"/>
      <c r="R116" s="65"/>
      <c r="S116" s="105"/>
      <c r="T116"/>
      <c r="U116"/>
      <c r="V116"/>
      <c r="W116"/>
      <c r="X116"/>
    </row>
    <row r="117" spans="1:24" ht="12.75">
      <c r="A117" s="124"/>
      <c r="B117" s="82">
        <v>73</v>
      </c>
      <c r="C117" s="86">
        <f t="shared" si="35"/>
        <v>6.000000000000002</v>
      </c>
      <c r="D117" s="68">
        <f t="shared" si="36"/>
        <v>10.392304845413264</v>
      </c>
      <c r="E117" s="79">
        <f t="shared" si="31"/>
        <v>378</v>
      </c>
      <c r="F117" s="73">
        <f>-C107</f>
        <v>12.000000000000004</v>
      </c>
      <c r="G117" s="71">
        <f>D107</f>
        <v>20.784609690826528</v>
      </c>
      <c r="H117" s="69">
        <f t="shared" si="33"/>
        <v>378</v>
      </c>
      <c r="I117" s="72">
        <f t="shared" si="34"/>
        <v>0.051</v>
      </c>
      <c r="J117" s="165">
        <v>1</v>
      </c>
      <c r="K117" s="112">
        <f t="shared" si="37"/>
        <v>12</v>
      </c>
      <c r="L117" s="65"/>
      <c r="M117" s="65"/>
      <c r="N117" s="65"/>
      <c r="O117" s="65"/>
      <c r="P117" s="65"/>
      <c r="Q117" s="65"/>
      <c r="R117" s="65"/>
      <c r="S117" s="105"/>
      <c r="T117"/>
      <c r="U117"/>
      <c r="V117"/>
      <c r="W117"/>
      <c r="X117"/>
    </row>
    <row r="118" spans="1:24" ht="12.75">
      <c r="A118" s="124"/>
      <c r="B118" s="82">
        <v>74</v>
      </c>
      <c r="C118" s="86">
        <f t="shared" si="35"/>
        <v>12.000000000000004</v>
      </c>
      <c r="D118" s="68">
        <f t="shared" si="36"/>
        <v>20.784609690826528</v>
      </c>
      <c r="E118" s="79">
        <f t="shared" si="31"/>
        <v>378</v>
      </c>
      <c r="F118" s="70">
        <f>-C106</f>
        <v>37.61246039941919</v>
      </c>
      <c r="G118" s="71">
        <f>D106</f>
        <v>65.14669240946641</v>
      </c>
      <c r="H118" s="69">
        <f t="shared" si="33"/>
        <v>378</v>
      </c>
      <c r="I118" s="72">
        <f t="shared" si="34"/>
        <v>0.051</v>
      </c>
      <c r="J118" s="165">
        <v>4</v>
      </c>
      <c r="K118" s="112">
        <f t="shared" si="37"/>
        <v>12.80623019970959</v>
      </c>
      <c r="L118" s="65"/>
      <c r="M118" s="65"/>
      <c r="N118" s="65"/>
      <c r="O118" s="65"/>
      <c r="P118" s="65"/>
      <c r="Q118" s="65"/>
      <c r="R118" s="65"/>
      <c r="S118" s="105"/>
      <c r="T118"/>
      <c r="U118"/>
      <c r="V118"/>
      <c r="W118"/>
      <c r="X118"/>
    </row>
    <row r="119" spans="1:24" ht="12.75">
      <c r="A119" s="124"/>
      <c r="B119" s="82">
        <v>75</v>
      </c>
      <c r="C119" s="83">
        <f t="shared" si="35"/>
        <v>37.61246039941919</v>
      </c>
      <c r="D119" s="68">
        <f t="shared" si="36"/>
        <v>65.14669240946641</v>
      </c>
      <c r="E119" s="79">
        <f t="shared" si="31"/>
        <v>378</v>
      </c>
      <c r="F119" s="70">
        <f>-C105</f>
        <v>72.52500000000002</v>
      </c>
      <c r="G119" s="71">
        <f>D105</f>
        <v>4.6764</v>
      </c>
      <c r="H119" s="69">
        <f t="shared" si="33"/>
        <v>378</v>
      </c>
      <c r="I119" s="72">
        <f t="shared" si="34"/>
        <v>0.051</v>
      </c>
      <c r="J119" s="165">
        <v>6</v>
      </c>
      <c r="K119" s="112">
        <f t="shared" si="37"/>
        <v>11.637513200193606</v>
      </c>
      <c r="L119" s="65"/>
      <c r="M119" s="65"/>
      <c r="N119" s="65"/>
      <c r="O119" s="65"/>
      <c r="P119" s="65"/>
      <c r="Q119" s="65"/>
      <c r="R119" s="65"/>
      <c r="S119" s="105"/>
      <c r="T119"/>
      <c r="U119"/>
      <c r="V119"/>
      <c r="W119"/>
      <c r="X119"/>
    </row>
    <row r="120" spans="1:24" ht="12.75">
      <c r="A120" s="127"/>
      <c r="B120" s="82">
        <v>76</v>
      </c>
      <c r="C120" s="83">
        <f>2*$C121+$F$38*$M$37</f>
        <v>-74.12500000000001</v>
      </c>
      <c r="D120" s="68">
        <f>-$F$38</f>
        <v>-3.1176</v>
      </c>
      <c r="E120" s="79">
        <f t="shared" si="31"/>
        <v>378</v>
      </c>
      <c r="F120" s="70">
        <f>C121</f>
        <v>-37.96247359961279</v>
      </c>
      <c r="G120" s="71">
        <f aca="true" t="shared" si="38" ref="G120:G126">F120*$M$34</f>
        <v>-65.7529330555215</v>
      </c>
      <c r="H120" s="69">
        <f t="shared" si="33"/>
        <v>378</v>
      </c>
      <c r="I120" s="72">
        <f t="shared" si="34"/>
        <v>0.051</v>
      </c>
      <c r="J120" s="165">
        <v>6</v>
      </c>
      <c r="K120" s="112">
        <f t="shared" si="37"/>
        <v>12.054175466795737</v>
      </c>
      <c r="L120" s="65"/>
      <c r="M120" s="65"/>
      <c r="N120" s="65"/>
      <c r="O120" s="65"/>
      <c r="P120" s="65"/>
      <c r="Q120" s="65"/>
      <c r="R120" s="65"/>
      <c r="S120" s="105"/>
      <c r="T120"/>
      <c r="U120"/>
      <c r="V120"/>
      <c r="W120"/>
      <c r="X120"/>
    </row>
    <row r="121" spans="1:24" ht="12.75">
      <c r="A121" s="127"/>
      <c r="B121" s="82">
        <v>77</v>
      </c>
      <c r="C121" s="83">
        <f>-$M$33*(0.5*$E$38+0.25*$E$32+0.5*$F$38/$M$36)</f>
        <v>-37.96247359961279</v>
      </c>
      <c r="D121" s="68">
        <f aca="true" t="shared" si="39" ref="D121:D126">C121*$M$34</f>
        <v>-65.7529330555215</v>
      </c>
      <c r="E121" s="79">
        <f t="shared" si="31"/>
        <v>378</v>
      </c>
      <c r="F121" s="73">
        <f aca="true" t="shared" si="40" ref="F121:F126">C122</f>
        <v>-12.000000000000004</v>
      </c>
      <c r="G121" s="71">
        <f t="shared" si="38"/>
        <v>-20.784609690826528</v>
      </c>
      <c r="H121" s="69">
        <f t="shared" si="33"/>
        <v>378</v>
      </c>
      <c r="I121" s="72">
        <f t="shared" si="34"/>
        <v>0.051</v>
      </c>
      <c r="J121" s="165">
        <v>4</v>
      </c>
      <c r="K121" s="112">
        <f t="shared" si="37"/>
        <v>12.981236799806391</v>
      </c>
      <c r="L121" s="65"/>
      <c r="M121" s="65"/>
      <c r="N121" s="65"/>
      <c r="O121" s="65"/>
      <c r="P121" s="65"/>
      <c r="Q121" s="65"/>
      <c r="R121" s="65"/>
      <c r="S121" s="105"/>
      <c r="T121"/>
      <c r="U121"/>
      <c r="V121"/>
      <c r="W121"/>
      <c r="X121"/>
    </row>
    <row r="122" spans="1:24" ht="12.75">
      <c r="A122" s="127" t="s">
        <v>31</v>
      </c>
      <c r="B122" s="82">
        <v>78</v>
      </c>
      <c r="C122" s="86">
        <f>-8*$E$32*$M$33+C123</f>
        <v>-12.000000000000004</v>
      </c>
      <c r="D122" s="68">
        <f t="shared" si="39"/>
        <v>-20.784609690826528</v>
      </c>
      <c r="E122" s="79">
        <f t="shared" si="31"/>
        <v>378</v>
      </c>
      <c r="F122" s="73">
        <f t="shared" si="40"/>
        <v>-6.000000000000002</v>
      </c>
      <c r="G122" s="71">
        <f t="shared" si="38"/>
        <v>-10.392304845413264</v>
      </c>
      <c r="H122" s="69">
        <f t="shared" si="33"/>
        <v>378</v>
      </c>
      <c r="I122" s="72">
        <f t="shared" si="34"/>
        <v>0.051</v>
      </c>
      <c r="J122" s="165">
        <v>1</v>
      </c>
      <c r="K122" s="112">
        <f t="shared" si="37"/>
        <v>12</v>
      </c>
      <c r="L122" s="65"/>
      <c r="M122" s="65"/>
      <c r="N122" s="65"/>
      <c r="O122" s="65"/>
      <c r="P122" s="65"/>
      <c r="Q122" s="65"/>
      <c r="R122" s="65"/>
      <c r="S122" s="105"/>
      <c r="T122"/>
      <c r="U122"/>
      <c r="V122"/>
      <c r="W122"/>
      <c r="X122"/>
    </row>
    <row r="123" spans="1:24" ht="12.75">
      <c r="A123" s="127"/>
      <c r="B123" s="82">
        <v>79</v>
      </c>
      <c r="C123" s="73">
        <f>-4*$E$32*$M$33+C124</f>
        <v>-6.000000000000002</v>
      </c>
      <c r="D123" s="71">
        <f t="shared" si="39"/>
        <v>-10.392304845413264</v>
      </c>
      <c r="E123" s="69">
        <f t="shared" si="31"/>
        <v>378</v>
      </c>
      <c r="F123" s="73">
        <f t="shared" si="40"/>
        <v>-3.000000000000001</v>
      </c>
      <c r="G123" s="71">
        <f t="shared" si="38"/>
        <v>-5.196152422706632</v>
      </c>
      <c r="H123" s="69">
        <f t="shared" si="33"/>
        <v>378</v>
      </c>
      <c r="I123" s="72">
        <f t="shared" si="34"/>
        <v>0.051</v>
      </c>
      <c r="J123" s="165">
        <v>1</v>
      </c>
      <c r="K123" s="112">
        <f t="shared" si="37"/>
        <v>6</v>
      </c>
      <c r="L123" s="65"/>
      <c r="M123" s="65"/>
      <c r="N123" s="65"/>
      <c r="O123" s="65"/>
      <c r="P123" s="65"/>
      <c r="Q123" s="65"/>
      <c r="R123" s="65"/>
      <c r="S123" s="105"/>
      <c r="T123"/>
      <c r="U123"/>
      <c r="V123"/>
      <c r="W123"/>
      <c r="X123"/>
    </row>
    <row r="124" spans="1:24" ht="12.75">
      <c r="A124" s="127"/>
      <c r="B124" s="82">
        <v>80</v>
      </c>
      <c r="C124" s="73">
        <f>-2*$E$32*$M$33+C125</f>
        <v>-3.000000000000001</v>
      </c>
      <c r="D124" s="71">
        <f t="shared" si="39"/>
        <v>-5.196152422706632</v>
      </c>
      <c r="E124" s="69">
        <f t="shared" si="31"/>
        <v>378</v>
      </c>
      <c r="F124" s="73">
        <f t="shared" si="40"/>
        <v>-1.5000000000000004</v>
      </c>
      <c r="G124" s="71">
        <f t="shared" si="38"/>
        <v>-2.598076211353316</v>
      </c>
      <c r="H124" s="69">
        <f t="shared" si="33"/>
        <v>378</v>
      </c>
      <c r="I124" s="72">
        <f t="shared" si="34"/>
        <v>0.051</v>
      </c>
      <c r="J124" s="165">
        <v>1</v>
      </c>
      <c r="K124" s="112">
        <f t="shared" si="37"/>
        <v>3</v>
      </c>
      <c r="L124" s="65"/>
      <c r="M124" s="65"/>
      <c r="N124" s="65"/>
      <c r="O124" s="65"/>
      <c r="P124" s="65"/>
      <c r="Q124" s="65"/>
      <c r="R124" s="65"/>
      <c r="S124" s="105"/>
      <c r="T124"/>
      <c r="U124"/>
      <c r="V124"/>
      <c r="W124"/>
      <c r="X124"/>
    </row>
    <row r="125" spans="1:24" ht="12.75">
      <c r="A125" s="127"/>
      <c r="B125" s="82">
        <v>81</v>
      </c>
      <c r="C125" s="73">
        <f>-$E$32*$M$33+C126</f>
        <v>-1.5000000000000004</v>
      </c>
      <c r="D125" s="71">
        <f t="shared" si="39"/>
        <v>-2.598076211353316</v>
      </c>
      <c r="E125" s="69">
        <f t="shared" si="31"/>
        <v>378</v>
      </c>
      <c r="F125" s="73">
        <f t="shared" si="40"/>
        <v>-0.7500000000000002</v>
      </c>
      <c r="G125" s="71">
        <f t="shared" si="38"/>
        <v>-1.299038105676658</v>
      </c>
      <c r="H125" s="69">
        <f t="shared" si="33"/>
        <v>378</v>
      </c>
      <c r="I125" s="72">
        <f t="shared" si="34"/>
        <v>0.051</v>
      </c>
      <c r="J125" s="165">
        <v>1</v>
      </c>
      <c r="K125" s="112">
        <f t="shared" si="37"/>
        <v>1.5</v>
      </c>
      <c r="L125" s="65"/>
      <c r="M125" s="65"/>
      <c r="N125" s="65"/>
      <c r="O125" s="65"/>
      <c r="P125" s="65"/>
      <c r="Q125" s="65"/>
      <c r="R125" s="65"/>
      <c r="S125" s="105"/>
      <c r="T125"/>
      <c r="U125"/>
      <c r="V125"/>
      <c r="W125"/>
      <c r="X125"/>
    </row>
    <row r="126" spans="1:24" ht="12.75">
      <c r="A126" s="127"/>
      <c r="B126" s="82">
        <v>82</v>
      </c>
      <c r="C126" s="73">
        <f>-$E$32*0.5*$M$33+C127</f>
        <v>-0.7500000000000002</v>
      </c>
      <c r="D126" s="71">
        <f t="shared" si="39"/>
        <v>-1.299038105676658</v>
      </c>
      <c r="E126" s="69">
        <f t="shared" si="31"/>
        <v>378</v>
      </c>
      <c r="F126" s="73">
        <f t="shared" si="40"/>
        <v>-0.3750000000000001</v>
      </c>
      <c r="G126" s="71">
        <f t="shared" si="38"/>
        <v>-0.649519052838329</v>
      </c>
      <c r="H126" s="69">
        <f t="shared" si="33"/>
        <v>378</v>
      </c>
      <c r="I126" s="72">
        <f t="shared" si="34"/>
        <v>0.051</v>
      </c>
      <c r="J126" s="165">
        <v>1</v>
      </c>
      <c r="K126" s="112">
        <f t="shared" si="37"/>
        <v>0.75</v>
      </c>
      <c r="L126" s="65"/>
      <c r="M126" s="65"/>
      <c r="N126" s="65"/>
      <c r="O126" s="65"/>
      <c r="P126" s="65"/>
      <c r="Q126" s="65"/>
      <c r="R126" s="65"/>
      <c r="S126" s="105"/>
      <c r="T126"/>
      <c r="U126"/>
      <c r="V126"/>
      <c r="W126"/>
      <c r="X126"/>
    </row>
    <row r="127" spans="1:24" ht="12.75">
      <c r="A127" s="128" t="s">
        <v>40</v>
      </c>
      <c r="B127" s="91">
        <v>83</v>
      </c>
      <c r="C127" s="73">
        <f>-$E$32*0.5*$M$33</f>
        <v>-0.3750000000000001</v>
      </c>
      <c r="D127" s="71">
        <f>-$E$32*0.5*$M$32</f>
        <v>-0.649519052838329</v>
      </c>
      <c r="E127" s="69">
        <f t="shared" si="31"/>
        <v>378</v>
      </c>
      <c r="F127" s="73">
        <f>$E$32*0.5*$M$33</f>
        <v>0.3750000000000001</v>
      </c>
      <c r="G127" s="71">
        <f>-$E$32*0.5*$M$32</f>
        <v>-0.649519052838329</v>
      </c>
      <c r="H127" s="69">
        <f t="shared" si="33"/>
        <v>378</v>
      </c>
      <c r="I127" s="72">
        <f t="shared" si="34"/>
        <v>0.051</v>
      </c>
      <c r="J127" s="165">
        <v>1</v>
      </c>
      <c r="K127" s="129">
        <f>-(C127-F127)</f>
        <v>0.7500000000000002</v>
      </c>
      <c r="L127" s="65"/>
      <c r="M127" s="65"/>
      <c r="N127" s="65"/>
      <c r="O127" s="65"/>
      <c r="P127" s="65"/>
      <c r="Q127" s="65"/>
      <c r="R127" s="65"/>
      <c r="S127" s="105"/>
      <c r="T127"/>
      <c r="U127"/>
      <c r="V127"/>
      <c r="W127"/>
      <c r="X127"/>
    </row>
    <row r="128" spans="1:24" ht="12.75">
      <c r="A128" s="127"/>
      <c r="B128" s="82">
        <v>84</v>
      </c>
      <c r="C128" s="73">
        <f aca="true" t="shared" si="41" ref="C128:C134">F127</f>
        <v>0.3750000000000001</v>
      </c>
      <c r="D128" s="71">
        <f aca="true" t="shared" si="42" ref="D128:D134">G127</f>
        <v>-0.649519052838329</v>
      </c>
      <c r="E128" s="69">
        <f t="shared" si="31"/>
        <v>378</v>
      </c>
      <c r="F128" s="73">
        <f>-C126</f>
        <v>0.7500000000000002</v>
      </c>
      <c r="G128" s="71">
        <f>D126</f>
        <v>-1.299038105676658</v>
      </c>
      <c r="H128" s="69">
        <f t="shared" si="33"/>
        <v>378</v>
      </c>
      <c r="I128" s="72">
        <f t="shared" si="34"/>
        <v>0.051</v>
      </c>
      <c r="J128" s="165">
        <v>1</v>
      </c>
      <c r="K128" s="112">
        <f aca="true" t="shared" si="43" ref="K128:K141">-(C128-F128)/($M$33*J128)</f>
        <v>0.75</v>
      </c>
      <c r="L128" s="65"/>
      <c r="M128" s="65"/>
      <c r="N128" s="65"/>
      <c r="O128" s="65"/>
      <c r="P128" s="65"/>
      <c r="Q128" s="65"/>
      <c r="R128" s="65"/>
      <c r="S128" s="105"/>
      <c r="T128"/>
      <c r="U128"/>
      <c r="V128"/>
      <c r="W128"/>
      <c r="X128"/>
    </row>
    <row r="129" spans="1:24" ht="12.75">
      <c r="A129" s="127"/>
      <c r="B129" s="82">
        <v>85</v>
      </c>
      <c r="C129" s="73">
        <f t="shared" si="41"/>
        <v>0.7500000000000002</v>
      </c>
      <c r="D129" s="71">
        <f t="shared" si="42"/>
        <v>-1.299038105676658</v>
      </c>
      <c r="E129" s="69">
        <f t="shared" si="31"/>
        <v>378</v>
      </c>
      <c r="F129" s="73">
        <f>-C125</f>
        <v>1.5000000000000004</v>
      </c>
      <c r="G129" s="71">
        <f>D125</f>
        <v>-2.598076211353316</v>
      </c>
      <c r="H129" s="69">
        <f t="shared" si="33"/>
        <v>378</v>
      </c>
      <c r="I129" s="72">
        <f t="shared" si="34"/>
        <v>0.051</v>
      </c>
      <c r="J129" s="165">
        <v>1</v>
      </c>
      <c r="K129" s="112">
        <f t="shared" si="43"/>
        <v>1.5</v>
      </c>
      <c r="L129" s="65"/>
      <c r="M129" s="65"/>
      <c r="N129" s="65"/>
      <c r="O129" s="65"/>
      <c r="P129" s="65"/>
      <c r="Q129" s="65"/>
      <c r="R129" s="65"/>
      <c r="S129" s="105"/>
      <c r="T129"/>
      <c r="U129"/>
      <c r="V129"/>
      <c r="W129"/>
      <c r="X129"/>
    </row>
    <row r="130" spans="1:24" ht="12.75">
      <c r="A130" s="127" t="s">
        <v>32</v>
      </c>
      <c r="B130" s="82">
        <v>86</v>
      </c>
      <c r="C130" s="73">
        <f t="shared" si="41"/>
        <v>1.5000000000000004</v>
      </c>
      <c r="D130" s="71">
        <f t="shared" si="42"/>
        <v>-2.598076211353316</v>
      </c>
      <c r="E130" s="69">
        <f t="shared" si="31"/>
        <v>378</v>
      </c>
      <c r="F130" s="73">
        <f>-C124</f>
        <v>3.000000000000001</v>
      </c>
      <c r="G130" s="71">
        <f>D124</f>
        <v>-5.196152422706632</v>
      </c>
      <c r="H130" s="69">
        <f t="shared" si="33"/>
        <v>378</v>
      </c>
      <c r="I130" s="72">
        <f t="shared" si="34"/>
        <v>0.051</v>
      </c>
      <c r="J130" s="165">
        <v>1</v>
      </c>
      <c r="K130" s="112">
        <f t="shared" si="43"/>
        <v>3</v>
      </c>
      <c r="L130" s="65"/>
      <c r="M130" s="65"/>
      <c r="N130" s="65"/>
      <c r="O130" s="65"/>
      <c r="P130" s="65"/>
      <c r="Q130" s="65"/>
      <c r="R130" s="65"/>
      <c r="S130" s="105"/>
      <c r="T130"/>
      <c r="U130"/>
      <c r="V130"/>
      <c r="W130"/>
      <c r="X130"/>
    </row>
    <row r="131" spans="1:24" ht="12.75">
      <c r="A131" s="127"/>
      <c r="B131" s="82">
        <v>87</v>
      </c>
      <c r="C131" s="73">
        <f t="shared" si="41"/>
        <v>3.000000000000001</v>
      </c>
      <c r="D131" s="71">
        <f t="shared" si="42"/>
        <v>-5.196152422706632</v>
      </c>
      <c r="E131" s="69">
        <f t="shared" si="31"/>
        <v>378</v>
      </c>
      <c r="F131" s="73">
        <f>-C123</f>
        <v>6.000000000000002</v>
      </c>
      <c r="G131" s="71">
        <f>D123</f>
        <v>-10.392304845413264</v>
      </c>
      <c r="H131" s="69">
        <f t="shared" si="33"/>
        <v>378</v>
      </c>
      <c r="I131" s="72">
        <f t="shared" si="34"/>
        <v>0.051</v>
      </c>
      <c r="J131" s="165">
        <v>1</v>
      </c>
      <c r="K131" s="112">
        <f t="shared" si="43"/>
        <v>6</v>
      </c>
      <c r="L131" s="65"/>
      <c r="M131" s="65"/>
      <c r="N131" s="65"/>
      <c r="O131" s="65"/>
      <c r="P131" s="65"/>
      <c r="Q131" s="65"/>
      <c r="R131" s="65"/>
      <c r="S131" s="105"/>
      <c r="T131"/>
      <c r="U131"/>
      <c r="V131"/>
      <c r="W131"/>
      <c r="X131"/>
    </row>
    <row r="132" spans="1:24" ht="12.75">
      <c r="A132" s="127"/>
      <c r="B132" s="82">
        <v>88</v>
      </c>
      <c r="C132" s="73">
        <f t="shared" si="41"/>
        <v>6.000000000000002</v>
      </c>
      <c r="D132" s="71">
        <f t="shared" si="42"/>
        <v>-10.392304845413264</v>
      </c>
      <c r="E132" s="69">
        <f t="shared" si="31"/>
        <v>378</v>
      </c>
      <c r="F132" s="73">
        <f>-C122</f>
        <v>12.000000000000004</v>
      </c>
      <c r="G132" s="71">
        <f>D122</f>
        <v>-20.784609690826528</v>
      </c>
      <c r="H132" s="69">
        <f t="shared" si="33"/>
        <v>378</v>
      </c>
      <c r="I132" s="72">
        <f t="shared" si="34"/>
        <v>0.051</v>
      </c>
      <c r="J132" s="165">
        <v>1</v>
      </c>
      <c r="K132" s="112">
        <f t="shared" si="43"/>
        <v>12</v>
      </c>
      <c r="L132" s="65"/>
      <c r="M132" s="65"/>
      <c r="N132" s="65"/>
      <c r="O132" s="65"/>
      <c r="P132" s="65"/>
      <c r="Q132" s="65"/>
      <c r="R132" s="65"/>
      <c r="S132" s="105"/>
      <c r="T132"/>
      <c r="U132"/>
      <c r="V132"/>
      <c r="W132"/>
      <c r="X132"/>
    </row>
    <row r="133" spans="1:24" ht="12.75">
      <c r="A133" s="127"/>
      <c r="B133" s="82">
        <v>89</v>
      </c>
      <c r="C133" s="73">
        <f t="shared" si="41"/>
        <v>12.000000000000004</v>
      </c>
      <c r="D133" s="71">
        <f t="shared" si="42"/>
        <v>-20.784609690826528</v>
      </c>
      <c r="E133" s="69">
        <f t="shared" si="31"/>
        <v>378</v>
      </c>
      <c r="F133" s="70">
        <f>-C121</f>
        <v>37.96247359961279</v>
      </c>
      <c r="G133" s="71">
        <f>D121</f>
        <v>-65.7529330555215</v>
      </c>
      <c r="H133" s="69">
        <f t="shared" si="33"/>
        <v>378</v>
      </c>
      <c r="I133" s="72">
        <f t="shared" si="34"/>
        <v>0.051</v>
      </c>
      <c r="J133" s="165">
        <v>4</v>
      </c>
      <c r="K133" s="112">
        <f t="shared" si="43"/>
        <v>12.981236799806391</v>
      </c>
      <c r="L133" s="65"/>
      <c r="M133" s="65"/>
      <c r="N133" s="65"/>
      <c r="O133" s="65"/>
      <c r="P133" s="65"/>
      <c r="Q133" s="65"/>
      <c r="R133" s="65"/>
      <c r="S133" s="105"/>
      <c r="T133"/>
      <c r="U133"/>
      <c r="V133"/>
      <c r="W133"/>
      <c r="X133"/>
    </row>
    <row r="134" spans="1:24" ht="12.75">
      <c r="A134" s="127"/>
      <c r="B134" s="82">
        <v>90</v>
      </c>
      <c r="C134" s="70">
        <f t="shared" si="41"/>
        <v>37.96247359961279</v>
      </c>
      <c r="D134" s="71">
        <f t="shared" si="42"/>
        <v>-65.7529330555215</v>
      </c>
      <c r="E134" s="69">
        <f t="shared" si="31"/>
        <v>378</v>
      </c>
      <c r="F134" s="70">
        <f>-C120</f>
        <v>74.12500000000001</v>
      </c>
      <c r="G134" s="71">
        <f>D120</f>
        <v>-3.1176</v>
      </c>
      <c r="H134" s="69">
        <f t="shared" si="33"/>
        <v>378</v>
      </c>
      <c r="I134" s="72">
        <f t="shared" si="34"/>
        <v>0.051</v>
      </c>
      <c r="J134" s="165">
        <v>6</v>
      </c>
      <c r="K134" s="112">
        <f t="shared" si="43"/>
        <v>12.054175466795737</v>
      </c>
      <c r="L134" s="65"/>
      <c r="M134" s="65"/>
      <c r="N134" s="65"/>
      <c r="O134" s="65"/>
      <c r="P134" s="65"/>
      <c r="Q134" s="65"/>
      <c r="R134" s="65"/>
      <c r="S134" s="105"/>
      <c r="T134"/>
      <c r="U134"/>
      <c r="V134"/>
      <c r="W134"/>
      <c r="X134"/>
    </row>
    <row r="135" spans="1:24" ht="12.75">
      <c r="A135" s="130"/>
      <c r="B135" s="82">
        <v>91</v>
      </c>
      <c r="C135" s="76">
        <f>2*$C136+$D$39*$M$37</f>
        <v>-61.67500000000001</v>
      </c>
      <c r="D135" s="74">
        <f>$D$39</f>
        <v>4.6764</v>
      </c>
      <c r="E135" s="75">
        <f>$E$34+$G$39</f>
        <v>373</v>
      </c>
      <c r="F135" s="76">
        <f>C136</f>
        <v>-32.18746039941919</v>
      </c>
      <c r="G135" s="74">
        <f aca="true" t="shared" si="44" ref="G135:G141">-F135*$M$34</f>
        <v>55.75031677840524</v>
      </c>
      <c r="H135" s="75">
        <f>$E$34+$G$39</f>
        <v>373</v>
      </c>
      <c r="I135" s="77">
        <f t="shared" si="34"/>
        <v>0.051</v>
      </c>
      <c r="J135" s="166">
        <v>5</v>
      </c>
      <c r="K135" s="112">
        <f t="shared" si="43"/>
        <v>11.795015840232328</v>
      </c>
      <c r="L135" s="65"/>
      <c r="M135" s="65"/>
      <c r="N135" s="65"/>
      <c r="O135" s="65"/>
      <c r="P135" s="65"/>
      <c r="Q135" s="65"/>
      <c r="R135" s="65"/>
      <c r="S135" s="105"/>
      <c r="T135"/>
      <c r="U135"/>
      <c r="V135"/>
      <c r="W135"/>
      <c r="X135"/>
    </row>
    <row r="136" spans="1:24" ht="12.75">
      <c r="A136" s="130"/>
      <c r="B136" s="82">
        <v>92</v>
      </c>
      <c r="C136" s="76">
        <f>-$M$33*(0.5*$C$39+0.25*$E$32+0.5*$D$39/$M$36)</f>
        <v>-32.18746039941919</v>
      </c>
      <c r="D136" s="74">
        <f aca="true" t="shared" si="45" ref="D136:D141">-C136*$M$34</f>
        <v>55.75031677840524</v>
      </c>
      <c r="E136" s="75">
        <f aca="true" t="shared" si="46" ref="E136:E164">$E$34+$G$39</f>
        <v>373</v>
      </c>
      <c r="F136" s="78">
        <f aca="true" t="shared" si="47" ref="F136:F141">C137</f>
        <v>-12.000000000000004</v>
      </c>
      <c r="G136" s="74">
        <f t="shared" si="44"/>
        <v>20.784609690826528</v>
      </c>
      <c r="H136" s="75">
        <f aca="true" t="shared" si="48" ref="H136:H164">$E$34+$G$39</f>
        <v>373</v>
      </c>
      <c r="I136" s="77">
        <f t="shared" si="34"/>
        <v>0.051</v>
      </c>
      <c r="J136" s="166">
        <v>3</v>
      </c>
      <c r="K136" s="112">
        <f t="shared" si="43"/>
        <v>13.458306932946119</v>
      </c>
      <c r="L136" s="65"/>
      <c r="M136" s="65"/>
      <c r="N136" s="65"/>
      <c r="O136" s="65"/>
      <c r="P136" s="65"/>
      <c r="Q136" s="65"/>
      <c r="R136" s="65"/>
      <c r="S136" s="105"/>
      <c r="T136"/>
      <c r="U136"/>
      <c r="V136"/>
      <c r="W136"/>
      <c r="X136"/>
    </row>
    <row r="137" spans="1:24" ht="12.75">
      <c r="A137" s="130"/>
      <c r="B137" s="82">
        <v>93</v>
      </c>
      <c r="C137" s="78">
        <f>-8*$E$32*$M$33+C138</f>
        <v>-12.000000000000004</v>
      </c>
      <c r="D137" s="74">
        <f t="shared" si="45"/>
        <v>20.784609690826528</v>
      </c>
      <c r="E137" s="75">
        <f t="shared" si="46"/>
        <v>373</v>
      </c>
      <c r="F137" s="78">
        <f t="shared" si="47"/>
        <v>-6.000000000000002</v>
      </c>
      <c r="G137" s="74">
        <f t="shared" si="44"/>
        <v>10.392304845413264</v>
      </c>
      <c r="H137" s="75">
        <f t="shared" si="48"/>
        <v>373</v>
      </c>
      <c r="I137" s="77">
        <f t="shared" si="34"/>
        <v>0.051</v>
      </c>
      <c r="J137" s="166">
        <v>1</v>
      </c>
      <c r="K137" s="112">
        <f t="shared" si="43"/>
        <v>12</v>
      </c>
      <c r="L137" s="65"/>
      <c r="M137" s="65"/>
      <c r="N137" s="65"/>
      <c r="O137" s="65"/>
      <c r="P137" s="65"/>
      <c r="Q137" s="65"/>
      <c r="R137" s="65"/>
      <c r="S137" s="105"/>
      <c r="T137"/>
      <c r="U137"/>
      <c r="V137"/>
      <c r="W137"/>
      <c r="X137"/>
    </row>
    <row r="138" spans="1:24" ht="12.75">
      <c r="A138" s="130" t="s">
        <v>31</v>
      </c>
      <c r="B138" s="82">
        <v>94</v>
      </c>
      <c r="C138" s="78">
        <f>-4*$E$32*$M$33+C139</f>
        <v>-6.000000000000002</v>
      </c>
      <c r="D138" s="74">
        <f t="shared" si="45"/>
        <v>10.392304845413264</v>
      </c>
      <c r="E138" s="75">
        <f t="shared" si="46"/>
        <v>373</v>
      </c>
      <c r="F138" s="78">
        <f t="shared" si="47"/>
        <v>-3.000000000000001</v>
      </c>
      <c r="G138" s="74">
        <f t="shared" si="44"/>
        <v>5.196152422706632</v>
      </c>
      <c r="H138" s="75">
        <f t="shared" si="48"/>
        <v>373</v>
      </c>
      <c r="I138" s="77">
        <f t="shared" si="34"/>
        <v>0.051</v>
      </c>
      <c r="J138" s="166">
        <v>1</v>
      </c>
      <c r="K138" s="112">
        <f t="shared" si="43"/>
        <v>6</v>
      </c>
      <c r="L138" s="65"/>
      <c r="M138" s="65"/>
      <c r="N138" s="65"/>
      <c r="O138" s="65"/>
      <c r="P138" s="65"/>
      <c r="Q138" s="65"/>
      <c r="R138" s="65"/>
      <c r="S138" s="105"/>
      <c r="T138"/>
      <c r="U138"/>
      <c r="V138"/>
      <c r="W138"/>
      <c r="X138"/>
    </row>
    <row r="139" spans="1:24" ht="12.75">
      <c r="A139" s="130"/>
      <c r="B139" s="82">
        <v>95</v>
      </c>
      <c r="C139" s="78">
        <f>-2*$E$32*$M$33+C140</f>
        <v>-3.000000000000001</v>
      </c>
      <c r="D139" s="74">
        <f t="shared" si="45"/>
        <v>5.196152422706632</v>
      </c>
      <c r="E139" s="75">
        <f t="shared" si="46"/>
        <v>373</v>
      </c>
      <c r="F139" s="78">
        <f t="shared" si="47"/>
        <v>-1.5000000000000004</v>
      </c>
      <c r="G139" s="74">
        <f t="shared" si="44"/>
        <v>2.598076211353316</v>
      </c>
      <c r="H139" s="75">
        <f t="shared" si="48"/>
        <v>373</v>
      </c>
      <c r="I139" s="77">
        <f t="shared" si="34"/>
        <v>0.051</v>
      </c>
      <c r="J139" s="166">
        <v>1</v>
      </c>
      <c r="K139" s="112">
        <f t="shared" si="43"/>
        <v>3</v>
      </c>
      <c r="L139" s="65"/>
      <c r="M139" s="65"/>
      <c r="N139" s="65"/>
      <c r="O139" s="65"/>
      <c r="P139" s="65"/>
      <c r="Q139" s="65"/>
      <c r="R139" s="65"/>
      <c r="S139" s="105"/>
      <c r="T139"/>
      <c r="U139"/>
      <c r="V139"/>
      <c r="W139"/>
      <c r="X139"/>
    </row>
    <row r="140" spans="1:24" ht="12.75">
      <c r="A140" s="130"/>
      <c r="B140" s="82">
        <v>96</v>
      </c>
      <c r="C140" s="78">
        <f>-$E$32*$M$33+C141</f>
        <v>-1.5000000000000004</v>
      </c>
      <c r="D140" s="74">
        <f t="shared" si="45"/>
        <v>2.598076211353316</v>
      </c>
      <c r="E140" s="75">
        <f t="shared" si="46"/>
        <v>373</v>
      </c>
      <c r="F140" s="78">
        <f t="shared" si="47"/>
        <v>-0.7500000000000002</v>
      </c>
      <c r="G140" s="74">
        <f t="shared" si="44"/>
        <v>1.299038105676658</v>
      </c>
      <c r="H140" s="75">
        <f t="shared" si="48"/>
        <v>373</v>
      </c>
      <c r="I140" s="77">
        <f t="shared" si="34"/>
        <v>0.051</v>
      </c>
      <c r="J140" s="166">
        <v>1</v>
      </c>
      <c r="K140" s="112">
        <f t="shared" si="43"/>
        <v>1.5</v>
      </c>
      <c r="L140" s="65"/>
      <c r="M140" s="65"/>
      <c r="N140" s="65"/>
      <c r="O140" s="65"/>
      <c r="P140" s="65"/>
      <c r="Q140" s="65"/>
      <c r="R140" s="65"/>
      <c r="S140" s="105"/>
      <c r="T140"/>
      <c r="U140"/>
      <c r="V140"/>
      <c r="W140"/>
      <c r="X140"/>
    </row>
    <row r="141" spans="1:24" ht="12.75">
      <c r="A141" s="130"/>
      <c r="B141" s="82">
        <v>97</v>
      </c>
      <c r="C141" s="78">
        <f>-$E$32*0.5*$M$33+C142</f>
        <v>-0.7500000000000002</v>
      </c>
      <c r="D141" s="74">
        <f t="shared" si="45"/>
        <v>1.299038105676658</v>
      </c>
      <c r="E141" s="75">
        <f t="shared" si="46"/>
        <v>373</v>
      </c>
      <c r="F141" s="78">
        <f t="shared" si="47"/>
        <v>-0.3750000000000001</v>
      </c>
      <c r="G141" s="74">
        <f t="shared" si="44"/>
        <v>0.649519052838329</v>
      </c>
      <c r="H141" s="75">
        <f t="shared" si="48"/>
        <v>373</v>
      </c>
      <c r="I141" s="77">
        <f aca="true" t="shared" si="49" ref="I141:I172">$E$33</f>
        <v>0.051</v>
      </c>
      <c r="J141" s="166">
        <v>1</v>
      </c>
      <c r="K141" s="112">
        <f t="shared" si="43"/>
        <v>0.75</v>
      </c>
      <c r="L141" s="65"/>
      <c r="M141" s="65"/>
      <c r="N141" s="65"/>
      <c r="O141" s="65"/>
      <c r="P141" s="65"/>
      <c r="Q141" s="65"/>
      <c r="R141" s="65"/>
      <c r="S141" s="105"/>
      <c r="T141"/>
      <c r="U141"/>
      <c r="V141"/>
      <c r="W141"/>
      <c r="X141"/>
    </row>
    <row r="142" spans="1:24" ht="12.75">
      <c r="A142" s="131" t="s">
        <v>37</v>
      </c>
      <c r="B142" s="92">
        <v>98</v>
      </c>
      <c r="C142" s="78">
        <f>-$E$32*0.5*$M$33</f>
        <v>-0.3750000000000001</v>
      </c>
      <c r="D142" s="74">
        <f>$E$32*0.5*$M$32</f>
        <v>0.649519052838329</v>
      </c>
      <c r="E142" s="75">
        <f t="shared" si="46"/>
        <v>373</v>
      </c>
      <c r="F142" s="78">
        <f>$E$32*0.5*$M$33</f>
        <v>0.3750000000000001</v>
      </c>
      <c r="G142" s="74">
        <f>$E$32*0.5*$M$32</f>
        <v>0.649519052838329</v>
      </c>
      <c r="H142" s="75">
        <f t="shared" si="48"/>
        <v>373</v>
      </c>
      <c r="I142" s="77">
        <f t="shared" si="49"/>
        <v>0.051</v>
      </c>
      <c r="J142" s="166">
        <v>1</v>
      </c>
      <c r="K142" s="132">
        <f>-(C142-F142)</f>
        <v>0.7500000000000002</v>
      </c>
      <c r="L142" s="65"/>
      <c r="M142" s="65"/>
      <c r="N142" s="65"/>
      <c r="O142" s="65"/>
      <c r="P142" s="65"/>
      <c r="Q142" s="65"/>
      <c r="R142" s="65"/>
      <c r="S142" s="105"/>
      <c r="T142"/>
      <c r="U142"/>
      <c r="V142"/>
      <c r="W142"/>
      <c r="X142"/>
    </row>
    <row r="143" spans="1:24" ht="12.75">
      <c r="A143" s="130"/>
      <c r="B143" s="82">
        <v>99</v>
      </c>
      <c r="C143" s="78">
        <f aca="true" t="shared" si="50" ref="C143:C149">F142</f>
        <v>0.3750000000000001</v>
      </c>
      <c r="D143" s="74">
        <f aca="true" t="shared" si="51" ref="D143:D149">G142</f>
        <v>0.649519052838329</v>
      </c>
      <c r="E143" s="75">
        <f t="shared" si="46"/>
        <v>373</v>
      </c>
      <c r="F143" s="78">
        <f>-C141</f>
        <v>0.7500000000000002</v>
      </c>
      <c r="G143" s="74">
        <f>D141</f>
        <v>1.299038105676658</v>
      </c>
      <c r="H143" s="75">
        <f t="shared" si="48"/>
        <v>373</v>
      </c>
      <c r="I143" s="77">
        <f t="shared" si="49"/>
        <v>0.051</v>
      </c>
      <c r="J143" s="166">
        <v>1</v>
      </c>
      <c r="K143" s="112">
        <f aca="true" t="shared" si="52" ref="K143:K156">-(C143-F143)/($M$33*J143)</f>
        <v>0.75</v>
      </c>
      <c r="L143" s="65"/>
      <c r="M143" s="65"/>
      <c r="N143" s="65"/>
      <c r="O143" s="65"/>
      <c r="P143" s="65"/>
      <c r="Q143" s="65"/>
      <c r="R143" s="65"/>
      <c r="S143" s="105"/>
      <c r="T143"/>
      <c r="U143"/>
      <c r="V143"/>
      <c r="W143"/>
      <c r="X143"/>
    </row>
    <row r="144" spans="1:24" ht="12.75">
      <c r="A144" s="130"/>
      <c r="B144" s="82">
        <v>100</v>
      </c>
      <c r="C144" s="78">
        <f t="shared" si="50"/>
        <v>0.7500000000000002</v>
      </c>
      <c r="D144" s="74">
        <f t="shared" si="51"/>
        <v>1.299038105676658</v>
      </c>
      <c r="E144" s="75">
        <f t="shared" si="46"/>
        <v>373</v>
      </c>
      <c r="F144" s="78">
        <f>-C140</f>
        <v>1.5000000000000004</v>
      </c>
      <c r="G144" s="74">
        <f>D140</f>
        <v>2.598076211353316</v>
      </c>
      <c r="H144" s="75">
        <f t="shared" si="48"/>
        <v>373</v>
      </c>
      <c r="I144" s="77">
        <f t="shared" si="49"/>
        <v>0.051</v>
      </c>
      <c r="J144" s="166">
        <v>1</v>
      </c>
      <c r="K144" s="112">
        <f t="shared" si="52"/>
        <v>1.5</v>
      </c>
      <c r="L144" s="65"/>
      <c r="M144" s="65"/>
      <c r="N144" s="65"/>
      <c r="O144" s="65"/>
      <c r="P144" s="65"/>
      <c r="Q144" s="65"/>
      <c r="R144" s="65"/>
      <c r="S144" s="105"/>
      <c r="T144"/>
      <c r="U144"/>
      <c r="V144"/>
      <c r="W144"/>
      <c r="X144"/>
    </row>
    <row r="145" spans="1:24" ht="12.75">
      <c r="A145" s="130"/>
      <c r="B145" s="82">
        <v>101</v>
      </c>
      <c r="C145" s="78">
        <f t="shared" si="50"/>
        <v>1.5000000000000004</v>
      </c>
      <c r="D145" s="74">
        <f t="shared" si="51"/>
        <v>2.598076211353316</v>
      </c>
      <c r="E145" s="75">
        <f t="shared" si="46"/>
        <v>373</v>
      </c>
      <c r="F145" s="78">
        <f>-C139</f>
        <v>3.000000000000001</v>
      </c>
      <c r="G145" s="74">
        <f>D139</f>
        <v>5.196152422706632</v>
      </c>
      <c r="H145" s="75">
        <f t="shared" si="48"/>
        <v>373</v>
      </c>
      <c r="I145" s="77">
        <f t="shared" si="49"/>
        <v>0.051</v>
      </c>
      <c r="J145" s="166">
        <v>1</v>
      </c>
      <c r="K145" s="112">
        <f t="shared" si="52"/>
        <v>3</v>
      </c>
      <c r="L145" s="65"/>
      <c r="M145" s="65"/>
      <c r="N145" s="65"/>
      <c r="O145" s="65"/>
      <c r="P145" s="65"/>
      <c r="Q145" s="65"/>
      <c r="R145" s="65"/>
      <c r="S145" s="105"/>
      <c r="T145"/>
      <c r="U145"/>
      <c r="V145"/>
      <c r="W145"/>
      <c r="X145"/>
    </row>
    <row r="146" spans="1:24" ht="12.75">
      <c r="A146" s="130" t="s">
        <v>32</v>
      </c>
      <c r="B146" s="82">
        <v>102</v>
      </c>
      <c r="C146" s="78">
        <f t="shared" si="50"/>
        <v>3.000000000000001</v>
      </c>
      <c r="D146" s="74">
        <f t="shared" si="51"/>
        <v>5.196152422706632</v>
      </c>
      <c r="E146" s="75">
        <f t="shared" si="46"/>
        <v>373</v>
      </c>
      <c r="F146" s="78">
        <f>-C138</f>
        <v>6.000000000000002</v>
      </c>
      <c r="G146" s="74">
        <f>D138</f>
        <v>10.392304845413264</v>
      </c>
      <c r="H146" s="75">
        <f t="shared" si="48"/>
        <v>373</v>
      </c>
      <c r="I146" s="77">
        <f t="shared" si="49"/>
        <v>0.051</v>
      </c>
      <c r="J146" s="166">
        <v>1</v>
      </c>
      <c r="K146" s="112">
        <f t="shared" si="52"/>
        <v>6</v>
      </c>
      <c r="L146" s="65"/>
      <c r="M146" s="65"/>
      <c r="N146" s="65"/>
      <c r="O146" s="65"/>
      <c r="P146" s="65"/>
      <c r="Q146" s="65"/>
      <c r="R146" s="65"/>
      <c r="S146" s="105"/>
      <c r="T146"/>
      <c r="U146"/>
      <c r="V146"/>
      <c r="W146"/>
      <c r="X146"/>
    </row>
    <row r="147" spans="1:24" ht="12.75">
      <c r="A147" s="130"/>
      <c r="B147" s="82">
        <v>103</v>
      </c>
      <c r="C147" s="78">
        <f t="shared" si="50"/>
        <v>6.000000000000002</v>
      </c>
      <c r="D147" s="74">
        <f t="shared" si="51"/>
        <v>10.392304845413264</v>
      </c>
      <c r="E147" s="75">
        <f t="shared" si="46"/>
        <v>373</v>
      </c>
      <c r="F147" s="78">
        <f>-C137</f>
        <v>12.000000000000004</v>
      </c>
      <c r="G147" s="74">
        <f>D137</f>
        <v>20.784609690826528</v>
      </c>
      <c r="H147" s="75">
        <f t="shared" si="48"/>
        <v>373</v>
      </c>
      <c r="I147" s="77">
        <f t="shared" si="49"/>
        <v>0.051</v>
      </c>
      <c r="J147" s="166">
        <v>1</v>
      </c>
      <c r="K147" s="112">
        <f t="shared" si="52"/>
        <v>12</v>
      </c>
      <c r="L147" s="65"/>
      <c r="M147" s="65"/>
      <c r="N147" s="65"/>
      <c r="O147" s="65"/>
      <c r="P147" s="65"/>
      <c r="Q147" s="65"/>
      <c r="R147" s="65"/>
      <c r="S147" s="105"/>
      <c r="T147"/>
      <c r="U147"/>
      <c r="V147"/>
      <c r="W147"/>
      <c r="X147"/>
    </row>
    <row r="148" spans="1:24" ht="12.75">
      <c r="A148" s="130"/>
      <c r="B148" s="82">
        <v>104</v>
      </c>
      <c r="C148" s="78">
        <f t="shared" si="50"/>
        <v>12.000000000000004</v>
      </c>
      <c r="D148" s="74">
        <f t="shared" si="51"/>
        <v>20.784609690826528</v>
      </c>
      <c r="E148" s="75">
        <f t="shared" si="46"/>
        <v>373</v>
      </c>
      <c r="F148" s="76">
        <f>-C136</f>
        <v>32.18746039941919</v>
      </c>
      <c r="G148" s="74">
        <f>D136</f>
        <v>55.75031677840524</v>
      </c>
      <c r="H148" s="75">
        <f t="shared" si="48"/>
        <v>373</v>
      </c>
      <c r="I148" s="77">
        <f t="shared" si="49"/>
        <v>0.051</v>
      </c>
      <c r="J148" s="166">
        <v>3</v>
      </c>
      <c r="K148" s="112">
        <f t="shared" si="52"/>
        <v>13.458306932946119</v>
      </c>
      <c r="L148" s="65"/>
      <c r="M148" s="65"/>
      <c r="N148" s="65"/>
      <c r="O148" s="65"/>
      <c r="P148" s="65"/>
      <c r="Q148" s="65"/>
      <c r="R148" s="65"/>
      <c r="S148" s="105"/>
      <c r="T148"/>
      <c r="U148"/>
      <c r="V148"/>
      <c r="W148"/>
      <c r="X148"/>
    </row>
    <row r="149" spans="1:24" ht="12.75">
      <c r="A149" s="130"/>
      <c r="B149" s="82">
        <v>105</v>
      </c>
      <c r="C149" s="76">
        <f t="shared" si="50"/>
        <v>32.18746039941919</v>
      </c>
      <c r="D149" s="74">
        <f t="shared" si="51"/>
        <v>55.75031677840524</v>
      </c>
      <c r="E149" s="75">
        <f t="shared" si="46"/>
        <v>373</v>
      </c>
      <c r="F149" s="76">
        <f>-C135</f>
        <v>61.67500000000001</v>
      </c>
      <c r="G149" s="74">
        <f>D135</f>
        <v>4.6764</v>
      </c>
      <c r="H149" s="75">
        <f t="shared" si="48"/>
        <v>373</v>
      </c>
      <c r="I149" s="77">
        <f t="shared" si="49"/>
        <v>0.051</v>
      </c>
      <c r="J149" s="166">
        <v>5</v>
      </c>
      <c r="K149" s="112">
        <f t="shared" si="52"/>
        <v>11.795015840232328</v>
      </c>
      <c r="L149" s="65"/>
      <c r="M149" s="65"/>
      <c r="N149" s="65"/>
      <c r="O149" s="65"/>
      <c r="P149" s="65"/>
      <c r="Q149" s="65"/>
      <c r="R149" s="65"/>
      <c r="S149" s="105"/>
      <c r="T149"/>
      <c r="U149"/>
      <c r="V149"/>
      <c r="W149"/>
      <c r="X149"/>
    </row>
    <row r="150" spans="1:24" ht="12.75">
      <c r="A150" s="133"/>
      <c r="B150" s="82">
        <v>106</v>
      </c>
      <c r="C150" s="76">
        <f>2*$C151+$F$39*$M$37</f>
        <v>-62.925000000000004</v>
      </c>
      <c r="D150" s="74">
        <f>-$F$39</f>
        <v>-3.031</v>
      </c>
      <c r="E150" s="75">
        <f t="shared" si="46"/>
        <v>373</v>
      </c>
      <c r="F150" s="76">
        <f>C151</f>
        <v>-32.33747433295688</v>
      </c>
      <c r="G150" s="74">
        <f aca="true" t="shared" si="53" ref="G150:G156">F150*$M$34</f>
        <v>-56.01014853313579</v>
      </c>
      <c r="H150" s="75">
        <f t="shared" si="48"/>
        <v>373</v>
      </c>
      <c r="I150" s="77">
        <f t="shared" si="49"/>
        <v>0.051</v>
      </c>
      <c r="J150" s="166">
        <v>5</v>
      </c>
      <c r="K150" s="112">
        <f t="shared" si="52"/>
        <v>12.235010266817248</v>
      </c>
      <c r="L150" s="65"/>
      <c r="M150" s="65"/>
      <c r="N150" s="65"/>
      <c r="O150" s="65"/>
      <c r="P150" s="65"/>
      <c r="Q150" s="65"/>
      <c r="R150" s="65"/>
      <c r="S150" s="105"/>
      <c r="T150"/>
      <c r="U150"/>
      <c r="V150"/>
      <c r="W150"/>
      <c r="X150"/>
    </row>
    <row r="151" spans="1:24" ht="12.75">
      <c r="A151" s="133"/>
      <c r="B151" s="82">
        <v>107</v>
      </c>
      <c r="C151" s="76">
        <f>-$M$33*(0.5*$E$39+0.25*$E$32+0.5*$F$39/$M$36)</f>
        <v>-32.33747433295688</v>
      </c>
      <c r="D151" s="74">
        <f aca="true" t="shared" si="54" ref="D151:D156">C151*$M$34</f>
        <v>-56.01014853313579</v>
      </c>
      <c r="E151" s="75">
        <f t="shared" si="46"/>
        <v>373</v>
      </c>
      <c r="F151" s="78">
        <f aca="true" t="shared" si="55" ref="F151:F156">C152</f>
        <v>-12.000000000000004</v>
      </c>
      <c r="G151" s="74">
        <f t="shared" si="53"/>
        <v>-20.784609690826528</v>
      </c>
      <c r="H151" s="75">
        <f t="shared" si="48"/>
        <v>373</v>
      </c>
      <c r="I151" s="77">
        <f t="shared" si="49"/>
        <v>0.051</v>
      </c>
      <c r="J151" s="166">
        <v>3</v>
      </c>
      <c r="K151" s="112">
        <f t="shared" si="52"/>
        <v>13.558316221971246</v>
      </c>
      <c r="L151" s="65"/>
      <c r="M151" s="65"/>
      <c r="N151" s="65"/>
      <c r="O151" s="65"/>
      <c r="P151" s="65"/>
      <c r="Q151" s="65"/>
      <c r="R151" s="65"/>
      <c r="S151" s="105"/>
      <c r="T151"/>
      <c r="U151"/>
      <c r="V151"/>
      <c r="W151"/>
      <c r="X151"/>
    </row>
    <row r="152" spans="1:24" ht="12.75">
      <c r="A152" s="133" t="s">
        <v>31</v>
      </c>
      <c r="B152" s="82">
        <v>108</v>
      </c>
      <c r="C152" s="78">
        <f>-8*$E$32*$M$33+C153</f>
        <v>-12.000000000000004</v>
      </c>
      <c r="D152" s="74">
        <f t="shared" si="54"/>
        <v>-20.784609690826528</v>
      </c>
      <c r="E152" s="75">
        <f t="shared" si="46"/>
        <v>373</v>
      </c>
      <c r="F152" s="78">
        <f t="shared" si="55"/>
        <v>-6.000000000000002</v>
      </c>
      <c r="G152" s="74">
        <f t="shared" si="53"/>
        <v>-10.392304845413264</v>
      </c>
      <c r="H152" s="75">
        <f t="shared" si="48"/>
        <v>373</v>
      </c>
      <c r="I152" s="77">
        <f t="shared" si="49"/>
        <v>0.051</v>
      </c>
      <c r="J152" s="166">
        <v>1</v>
      </c>
      <c r="K152" s="112">
        <f t="shared" si="52"/>
        <v>12</v>
      </c>
      <c r="L152" s="65"/>
      <c r="M152" s="65"/>
      <c r="N152" s="65"/>
      <c r="O152" s="65"/>
      <c r="P152" s="65"/>
      <c r="Q152" s="65"/>
      <c r="R152" s="65"/>
      <c r="S152" s="105"/>
      <c r="T152"/>
      <c r="U152"/>
      <c r="V152"/>
      <c r="W152"/>
      <c r="X152"/>
    </row>
    <row r="153" spans="1:24" ht="12.75">
      <c r="A153" s="133"/>
      <c r="B153" s="82">
        <v>109</v>
      </c>
      <c r="C153" s="78">
        <f>-4*$E$32*$M$33+C154</f>
        <v>-6.000000000000002</v>
      </c>
      <c r="D153" s="74">
        <f t="shared" si="54"/>
        <v>-10.392304845413264</v>
      </c>
      <c r="E153" s="75">
        <f t="shared" si="46"/>
        <v>373</v>
      </c>
      <c r="F153" s="78">
        <f t="shared" si="55"/>
        <v>-3.000000000000001</v>
      </c>
      <c r="G153" s="74">
        <f t="shared" si="53"/>
        <v>-5.196152422706632</v>
      </c>
      <c r="H153" s="75">
        <f t="shared" si="48"/>
        <v>373</v>
      </c>
      <c r="I153" s="77">
        <f t="shared" si="49"/>
        <v>0.051</v>
      </c>
      <c r="J153" s="166">
        <v>1</v>
      </c>
      <c r="K153" s="112">
        <f t="shared" si="52"/>
        <v>6</v>
      </c>
      <c r="L153" s="65"/>
      <c r="M153" s="65"/>
      <c r="N153" s="65"/>
      <c r="O153" s="65"/>
      <c r="P153" s="65"/>
      <c r="Q153" s="65"/>
      <c r="R153" s="65"/>
      <c r="S153" s="105"/>
      <c r="T153"/>
      <c r="U153"/>
      <c r="V153"/>
      <c r="W153"/>
      <c r="X153"/>
    </row>
    <row r="154" spans="1:24" ht="12.75">
      <c r="A154" s="133"/>
      <c r="B154" s="82">
        <v>110</v>
      </c>
      <c r="C154" s="78">
        <f>-2*$E$32*$M$33+C155</f>
        <v>-3.000000000000001</v>
      </c>
      <c r="D154" s="74">
        <f t="shared" si="54"/>
        <v>-5.196152422706632</v>
      </c>
      <c r="E154" s="75">
        <f t="shared" si="46"/>
        <v>373</v>
      </c>
      <c r="F154" s="78">
        <f t="shared" si="55"/>
        <v>-1.5000000000000004</v>
      </c>
      <c r="G154" s="74">
        <f t="shared" si="53"/>
        <v>-2.598076211353316</v>
      </c>
      <c r="H154" s="75">
        <f t="shared" si="48"/>
        <v>373</v>
      </c>
      <c r="I154" s="77">
        <f t="shared" si="49"/>
        <v>0.051</v>
      </c>
      <c r="J154" s="166">
        <v>1</v>
      </c>
      <c r="K154" s="112">
        <f t="shared" si="52"/>
        <v>3</v>
      </c>
      <c r="L154" s="65"/>
      <c r="M154" s="65"/>
      <c r="N154" s="65"/>
      <c r="O154" s="65"/>
      <c r="P154" s="65"/>
      <c r="Q154" s="65"/>
      <c r="R154" s="65"/>
      <c r="S154" s="105"/>
      <c r="T154"/>
      <c r="U154"/>
      <c r="V154"/>
      <c r="W154"/>
      <c r="X154"/>
    </row>
    <row r="155" spans="1:24" ht="12.75">
      <c r="A155" s="133"/>
      <c r="B155" s="82">
        <v>111</v>
      </c>
      <c r="C155" s="78">
        <f>-$E$32*$M$33+C156</f>
        <v>-1.5000000000000004</v>
      </c>
      <c r="D155" s="74">
        <f t="shared" si="54"/>
        <v>-2.598076211353316</v>
      </c>
      <c r="E155" s="75">
        <f t="shared" si="46"/>
        <v>373</v>
      </c>
      <c r="F155" s="78">
        <f t="shared" si="55"/>
        <v>-0.7500000000000002</v>
      </c>
      <c r="G155" s="74">
        <f t="shared" si="53"/>
        <v>-1.299038105676658</v>
      </c>
      <c r="H155" s="75">
        <f t="shared" si="48"/>
        <v>373</v>
      </c>
      <c r="I155" s="77">
        <f t="shared" si="49"/>
        <v>0.051</v>
      </c>
      <c r="J155" s="166">
        <v>1</v>
      </c>
      <c r="K155" s="112">
        <f t="shared" si="52"/>
        <v>1.5</v>
      </c>
      <c r="L155" s="65"/>
      <c r="M155" s="65"/>
      <c r="N155" s="65"/>
      <c r="O155" s="65"/>
      <c r="P155" s="65"/>
      <c r="Q155" s="65"/>
      <c r="R155" s="65"/>
      <c r="S155" s="105"/>
      <c r="T155"/>
      <c r="U155"/>
      <c r="V155"/>
      <c r="W155"/>
      <c r="X155"/>
    </row>
    <row r="156" spans="1:24" ht="12.75">
      <c r="A156" s="133"/>
      <c r="B156" s="82">
        <v>112</v>
      </c>
      <c r="C156" s="78">
        <f>-$E$32*0.5*$M$33+C157</f>
        <v>-0.7500000000000002</v>
      </c>
      <c r="D156" s="74">
        <f t="shared" si="54"/>
        <v>-1.299038105676658</v>
      </c>
      <c r="E156" s="75">
        <f t="shared" si="46"/>
        <v>373</v>
      </c>
      <c r="F156" s="78">
        <f t="shared" si="55"/>
        <v>-0.3750000000000001</v>
      </c>
      <c r="G156" s="74">
        <f t="shared" si="53"/>
        <v>-0.649519052838329</v>
      </c>
      <c r="H156" s="75">
        <f t="shared" si="48"/>
        <v>373</v>
      </c>
      <c r="I156" s="77">
        <f t="shared" si="49"/>
        <v>0.051</v>
      </c>
      <c r="J156" s="166">
        <v>1</v>
      </c>
      <c r="K156" s="112">
        <f t="shared" si="52"/>
        <v>0.75</v>
      </c>
      <c r="L156" s="65"/>
      <c r="M156" s="65"/>
      <c r="N156" s="65"/>
      <c r="O156" s="65"/>
      <c r="P156" s="65"/>
      <c r="Q156" s="65"/>
      <c r="R156" s="65"/>
      <c r="S156" s="105"/>
      <c r="T156"/>
      <c r="U156"/>
      <c r="V156"/>
      <c r="W156"/>
      <c r="X156"/>
    </row>
    <row r="157" spans="1:24" ht="12.75">
      <c r="A157" s="134" t="s">
        <v>41</v>
      </c>
      <c r="B157" s="93">
        <v>113</v>
      </c>
      <c r="C157" s="78">
        <f>-$E$32*0.5*$M$33</f>
        <v>-0.3750000000000001</v>
      </c>
      <c r="D157" s="74">
        <f>-$E$32*0.5*$M$32</f>
        <v>-0.649519052838329</v>
      </c>
      <c r="E157" s="75">
        <f t="shared" si="46"/>
        <v>373</v>
      </c>
      <c r="F157" s="78">
        <f>$E$32*0.5*$M$33</f>
        <v>0.3750000000000001</v>
      </c>
      <c r="G157" s="74">
        <f>-$E$32*0.5*$M$32</f>
        <v>-0.649519052838329</v>
      </c>
      <c r="H157" s="75">
        <f t="shared" si="48"/>
        <v>373</v>
      </c>
      <c r="I157" s="77">
        <f t="shared" si="49"/>
        <v>0.051</v>
      </c>
      <c r="J157" s="166">
        <v>1</v>
      </c>
      <c r="K157" s="135">
        <f>-(C157-F157)</f>
        <v>0.7500000000000002</v>
      </c>
      <c r="L157" s="65"/>
      <c r="M157" s="65"/>
      <c r="N157" s="65"/>
      <c r="O157" s="65"/>
      <c r="P157" s="65"/>
      <c r="Q157" s="65"/>
      <c r="R157" s="65"/>
      <c r="S157" s="105"/>
      <c r="T157"/>
      <c r="U157"/>
      <c r="V157"/>
      <c r="W157"/>
      <c r="X157"/>
    </row>
    <row r="158" spans="1:24" ht="12.75">
      <c r="A158" s="133"/>
      <c r="B158" s="82">
        <v>114</v>
      </c>
      <c r="C158" s="78">
        <f aca="true" t="shared" si="56" ref="C158:C164">F157</f>
        <v>0.3750000000000001</v>
      </c>
      <c r="D158" s="74">
        <f aca="true" t="shared" si="57" ref="D158:D164">G157</f>
        <v>-0.649519052838329</v>
      </c>
      <c r="E158" s="75">
        <f t="shared" si="46"/>
        <v>373</v>
      </c>
      <c r="F158" s="78">
        <f>-C156</f>
        <v>0.7500000000000002</v>
      </c>
      <c r="G158" s="74">
        <f>D156</f>
        <v>-1.299038105676658</v>
      </c>
      <c r="H158" s="75">
        <f t="shared" si="48"/>
        <v>373</v>
      </c>
      <c r="I158" s="77">
        <f t="shared" si="49"/>
        <v>0.051</v>
      </c>
      <c r="J158" s="166">
        <v>1</v>
      </c>
      <c r="K158" s="112">
        <f aca="true" t="shared" si="58" ref="K158:K171">-(C158-F158)/($M$33*J158)</f>
        <v>0.75</v>
      </c>
      <c r="L158" s="65"/>
      <c r="M158" s="65"/>
      <c r="N158" s="65"/>
      <c r="O158" s="65"/>
      <c r="P158" s="65"/>
      <c r="Q158" s="65"/>
      <c r="R158" s="65"/>
      <c r="S158" s="105"/>
      <c r="T158"/>
      <c r="U158"/>
      <c r="V158"/>
      <c r="W158"/>
      <c r="X158"/>
    </row>
    <row r="159" spans="1:24" ht="12.75">
      <c r="A159" s="133"/>
      <c r="B159" s="82">
        <v>115</v>
      </c>
      <c r="C159" s="78">
        <f t="shared" si="56"/>
        <v>0.7500000000000002</v>
      </c>
      <c r="D159" s="74">
        <f t="shared" si="57"/>
        <v>-1.299038105676658</v>
      </c>
      <c r="E159" s="75">
        <f t="shared" si="46"/>
        <v>373</v>
      </c>
      <c r="F159" s="78">
        <f>-C155</f>
        <v>1.5000000000000004</v>
      </c>
      <c r="G159" s="74">
        <f>D155</f>
        <v>-2.598076211353316</v>
      </c>
      <c r="H159" s="75">
        <f t="shared" si="48"/>
        <v>373</v>
      </c>
      <c r="I159" s="77">
        <f t="shared" si="49"/>
        <v>0.051</v>
      </c>
      <c r="J159" s="166">
        <v>1</v>
      </c>
      <c r="K159" s="112">
        <f t="shared" si="58"/>
        <v>1.5</v>
      </c>
      <c r="L159" s="65"/>
      <c r="M159" s="65"/>
      <c r="N159" s="65"/>
      <c r="O159" s="65"/>
      <c r="P159" s="65"/>
      <c r="Q159" s="65"/>
      <c r="R159" s="65"/>
      <c r="S159" s="105"/>
      <c r="T159"/>
      <c r="U159"/>
      <c r="V159"/>
      <c r="W159"/>
      <c r="X159"/>
    </row>
    <row r="160" spans="1:24" ht="12.75">
      <c r="A160" s="133" t="s">
        <v>32</v>
      </c>
      <c r="B160" s="82">
        <v>116</v>
      </c>
      <c r="C160" s="78">
        <f t="shared" si="56"/>
        <v>1.5000000000000004</v>
      </c>
      <c r="D160" s="74">
        <f t="shared" si="57"/>
        <v>-2.598076211353316</v>
      </c>
      <c r="E160" s="75">
        <f t="shared" si="46"/>
        <v>373</v>
      </c>
      <c r="F160" s="78">
        <f>-C154</f>
        <v>3.000000000000001</v>
      </c>
      <c r="G160" s="74">
        <f>D154</f>
        <v>-5.196152422706632</v>
      </c>
      <c r="H160" s="75">
        <f t="shared" si="48"/>
        <v>373</v>
      </c>
      <c r="I160" s="77">
        <f t="shared" si="49"/>
        <v>0.051</v>
      </c>
      <c r="J160" s="166">
        <v>1</v>
      </c>
      <c r="K160" s="112">
        <f t="shared" si="58"/>
        <v>3</v>
      </c>
      <c r="L160" s="65"/>
      <c r="M160" s="65"/>
      <c r="N160" s="65"/>
      <c r="O160" s="65"/>
      <c r="P160" s="65"/>
      <c r="Q160" s="65"/>
      <c r="R160" s="65"/>
      <c r="S160" s="105"/>
      <c r="T160"/>
      <c r="U160"/>
      <c r="V160"/>
      <c r="W160"/>
      <c r="X160"/>
    </row>
    <row r="161" spans="1:24" ht="12.75">
      <c r="A161" s="133"/>
      <c r="B161" s="82">
        <v>117</v>
      </c>
      <c r="C161" s="78">
        <f t="shared" si="56"/>
        <v>3.000000000000001</v>
      </c>
      <c r="D161" s="74">
        <f t="shared" si="57"/>
        <v>-5.196152422706632</v>
      </c>
      <c r="E161" s="75">
        <f t="shared" si="46"/>
        <v>373</v>
      </c>
      <c r="F161" s="78">
        <f>-C153</f>
        <v>6.000000000000002</v>
      </c>
      <c r="G161" s="74">
        <f>D153</f>
        <v>-10.392304845413264</v>
      </c>
      <c r="H161" s="75">
        <f t="shared" si="48"/>
        <v>373</v>
      </c>
      <c r="I161" s="77">
        <f t="shared" si="49"/>
        <v>0.051</v>
      </c>
      <c r="J161" s="166">
        <v>1</v>
      </c>
      <c r="K161" s="112">
        <f t="shared" si="58"/>
        <v>6</v>
      </c>
      <c r="L161" s="65"/>
      <c r="M161" s="65"/>
      <c r="N161" s="65"/>
      <c r="O161" s="65"/>
      <c r="P161" s="65"/>
      <c r="Q161" s="65"/>
      <c r="R161" s="65"/>
      <c r="S161" s="105"/>
      <c r="T161"/>
      <c r="U161"/>
      <c r="V161"/>
      <c r="W161"/>
      <c r="X161"/>
    </row>
    <row r="162" spans="1:24" ht="12.75">
      <c r="A162" s="133"/>
      <c r="B162" s="82">
        <v>118</v>
      </c>
      <c r="C162" s="78">
        <f t="shared" si="56"/>
        <v>6.000000000000002</v>
      </c>
      <c r="D162" s="74">
        <f t="shared" si="57"/>
        <v>-10.392304845413264</v>
      </c>
      <c r="E162" s="75">
        <f t="shared" si="46"/>
        <v>373</v>
      </c>
      <c r="F162" s="78">
        <f>-C152</f>
        <v>12.000000000000004</v>
      </c>
      <c r="G162" s="74">
        <f>D152</f>
        <v>-20.784609690826528</v>
      </c>
      <c r="H162" s="75">
        <f t="shared" si="48"/>
        <v>373</v>
      </c>
      <c r="I162" s="77">
        <f t="shared" si="49"/>
        <v>0.051</v>
      </c>
      <c r="J162" s="166">
        <v>1</v>
      </c>
      <c r="K162" s="112">
        <f t="shared" si="58"/>
        <v>12</v>
      </c>
      <c r="L162" s="65"/>
      <c r="M162" s="65"/>
      <c r="N162" s="65"/>
      <c r="O162" s="65"/>
      <c r="P162" s="65"/>
      <c r="Q162" s="65"/>
      <c r="R162" s="65"/>
      <c r="S162" s="105"/>
      <c r="T162"/>
      <c r="U162"/>
      <c r="V162"/>
      <c r="W162"/>
      <c r="X162"/>
    </row>
    <row r="163" spans="1:24" ht="12.75">
      <c r="A163" s="133"/>
      <c r="B163" s="82">
        <v>119</v>
      </c>
      <c r="C163" s="78">
        <f t="shared" si="56"/>
        <v>12.000000000000004</v>
      </c>
      <c r="D163" s="74">
        <f t="shared" si="57"/>
        <v>-20.784609690826528</v>
      </c>
      <c r="E163" s="75">
        <f t="shared" si="46"/>
        <v>373</v>
      </c>
      <c r="F163" s="76">
        <f>-C151</f>
        <v>32.33747433295688</v>
      </c>
      <c r="G163" s="74">
        <f>D151</f>
        <v>-56.01014853313579</v>
      </c>
      <c r="H163" s="75">
        <f t="shared" si="48"/>
        <v>373</v>
      </c>
      <c r="I163" s="77">
        <f t="shared" si="49"/>
        <v>0.051</v>
      </c>
      <c r="J163" s="166">
        <v>3</v>
      </c>
      <c r="K163" s="112">
        <f t="shared" si="58"/>
        <v>13.558316221971246</v>
      </c>
      <c r="L163" s="65"/>
      <c r="M163" s="65"/>
      <c r="N163" s="65"/>
      <c r="O163" s="65"/>
      <c r="P163" s="65"/>
      <c r="Q163" s="65"/>
      <c r="R163" s="65"/>
      <c r="S163" s="105"/>
      <c r="T163"/>
      <c r="U163"/>
      <c r="V163"/>
      <c r="W163"/>
      <c r="X163"/>
    </row>
    <row r="164" spans="1:24" ht="12.75">
      <c r="A164" s="133"/>
      <c r="B164" s="82">
        <v>120</v>
      </c>
      <c r="C164" s="76">
        <f t="shared" si="56"/>
        <v>32.33747433295688</v>
      </c>
      <c r="D164" s="74">
        <f t="shared" si="57"/>
        <v>-56.01014853313579</v>
      </c>
      <c r="E164" s="75">
        <f t="shared" si="46"/>
        <v>373</v>
      </c>
      <c r="F164" s="76">
        <f>-C150</f>
        <v>62.925000000000004</v>
      </c>
      <c r="G164" s="74">
        <f>D150</f>
        <v>-3.031</v>
      </c>
      <c r="H164" s="75">
        <f t="shared" si="48"/>
        <v>373</v>
      </c>
      <c r="I164" s="77">
        <f t="shared" si="49"/>
        <v>0.051</v>
      </c>
      <c r="J164" s="166">
        <v>5</v>
      </c>
      <c r="K164" s="112">
        <f t="shared" si="58"/>
        <v>12.235010266817248</v>
      </c>
      <c r="L164" s="65"/>
      <c r="M164" s="65"/>
      <c r="N164" s="65"/>
      <c r="O164" s="65"/>
      <c r="P164" s="65"/>
      <c r="Q164" s="65"/>
      <c r="R164" s="65"/>
      <c r="S164" s="105"/>
      <c r="T164"/>
      <c r="U164"/>
      <c r="V164"/>
      <c r="W164"/>
      <c r="X164"/>
    </row>
    <row r="165" spans="1:24" ht="12.75">
      <c r="A165" s="136"/>
      <c r="B165" s="82">
        <v>121</v>
      </c>
      <c r="C165" s="70">
        <f>2*$C166+$D$40*$M$37</f>
        <v>-54.92500000000001</v>
      </c>
      <c r="D165" s="71">
        <f>$D$40</f>
        <v>4.8496</v>
      </c>
      <c r="E165" s="69">
        <f>$E$34+$G$40</f>
        <v>371</v>
      </c>
      <c r="F165" s="70">
        <f>C166</f>
        <v>-28.86245893273101</v>
      </c>
      <c r="G165" s="71">
        <f aca="true" t="shared" si="59" ref="G165:G171">-F165*$M$34</f>
        <v>49.991245302860285</v>
      </c>
      <c r="H165" s="69">
        <f>$E$34+$G$40</f>
        <v>371</v>
      </c>
      <c r="I165" s="72">
        <f t="shared" si="49"/>
        <v>0.051</v>
      </c>
      <c r="J165" s="165">
        <v>5</v>
      </c>
      <c r="K165" s="112">
        <f t="shared" si="58"/>
        <v>10.425016426907598</v>
      </c>
      <c r="L165" s="65"/>
      <c r="M165" s="65"/>
      <c r="N165" s="65"/>
      <c r="O165" s="65"/>
      <c r="P165" s="65"/>
      <c r="Q165" s="65"/>
      <c r="R165" s="65"/>
      <c r="S165" s="105"/>
      <c r="T165"/>
      <c r="U165"/>
      <c r="V165"/>
      <c r="W165"/>
      <c r="X165"/>
    </row>
    <row r="166" spans="1:24" ht="12.75">
      <c r="A166" s="136"/>
      <c r="B166" s="82">
        <v>122</v>
      </c>
      <c r="C166" s="70">
        <f>-$M$33*(0.5*$C$40+0.25*$E$32+0.5*$D$40/$M$36)</f>
        <v>-28.86245893273101</v>
      </c>
      <c r="D166" s="71">
        <f aca="true" t="shared" si="60" ref="D166:D171">-C166*$M$34</f>
        <v>49.991245302860285</v>
      </c>
      <c r="E166" s="69">
        <f aca="true" t="shared" si="61" ref="E166:E194">$E$34+$G$40</f>
        <v>371</v>
      </c>
      <c r="F166" s="73">
        <f aca="true" t="shared" si="62" ref="F166:F171">C167</f>
        <v>-12.000000000000004</v>
      </c>
      <c r="G166" s="71">
        <f t="shared" si="59"/>
        <v>20.784609690826528</v>
      </c>
      <c r="H166" s="69">
        <f aca="true" t="shared" si="63" ref="H166:H194">$E$34+$G$40</f>
        <v>371</v>
      </c>
      <c r="I166" s="72">
        <f t="shared" si="49"/>
        <v>0.051</v>
      </c>
      <c r="J166" s="165">
        <v>3</v>
      </c>
      <c r="K166" s="112">
        <f t="shared" si="58"/>
        <v>11.241639288487333</v>
      </c>
      <c r="L166" s="65"/>
      <c r="M166" s="65"/>
      <c r="N166" s="65"/>
      <c r="O166" s="65"/>
      <c r="P166" s="65"/>
      <c r="Q166" s="65"/>
      <c r="R166" s="65"/>
      <c r="S166" s="105"/>
      <c r="T166"/>
      <c r="U166"/>
      <c r="V166"/>
      <c r="W166"/>
      <c r="X166"/>
    </row>
    <row r="167" spans="1:24" ht="12.75">
      <c r="A167" s="136"/>
      <c r="B167" s="82">
        <v>123</v>
      </c>
      <c r="C167" s="73">
        <f>-8*$E$32*$M$33+C168</f>
        <v>-12.000000000000004</v>
      </c>
      <c r="D167" s="71">
        <f t="shared" si="60"/>
        <v>20.784609690826528</v>
      </c>
      <c r="E167" s="69">
        <f t="shared" si="61"/>
        <v>371</v>
      </c>
      <c r="F167" s="73">
        <f t="shared" si="62"/>
        <v>-6.000000000000002</v>
      </c>
      <c r="G167" s="71">
        <f t="shared" si="59"/>
        <v>10.392304845413264</v>
      </c>
      <c r="H167" s="69">
        <f t="shared" si="63"/>
        <v>371</v>
      </c>
      <c r="I167" s="72">
        <f t="shared" si="49"/>
        <v>0.051</v>
      </c>
      <c r="J167" s="165">
        <v>1</v>
      </c>
      <c r="K167" s="112">
        <f t="shared" si="58"/>
        <v>12</v>
      </c>
      <c r="L167" s="65"/>
      <c r="M167" s="65"/>
      <c r="N167" s="65"/>
      <c r="O167" s="65"/>
      <c r="P167" s="65"/>
      <c r="Q167" s="65"/>
      <c r="R167" s="65"/>
      <c r="S167" s="105"/>
      <c r="T167"/>
      <c r="U167"/>
      <c r="V167"/>
      <c r="W167"/>
      <c r="X167"/>
    </row>
    <row r="168" spans="1:24" ht="12.75">
      <c r="A168" s="136" t="s">
        <v>31</v>
      </c>
      <c r="B168" s="82">
        <v>124</v>
      </c>
      <c r="C168" s="73">
        <f>-4*$E$32*$M$33+C169</f>
        <v>-6.000000000000002</v>
      </c>
      <c r="D168" s="71">
        <f t="shared" si="60"/>
        <v>10.392304845413264</v>
      </c>
      <c r="E168" s="69">
        <f t="shared" si="61"/>
        <v>371</v>
      </c>
      <c r="F168" s="73">
        <f t="shared" si="62"/>
        <v>-3.000000000000001</v>
      </c>
      <c r="G168" s="71">
        <f t="shared" si="59"/>
        <v>5.196152422706632</v>
      </c>
      <c r="H168" s="69">
        <f t="shared" si="63"/>
        <v>371</v>
      </c>
      <c r="I168" s="72">
        <f t="shared" si="49"/>
        <v>0.051</v>
      </c>
      <c r="J168" s="165">
        <v>1</v>
      </c>
      <c r="K168" s="112">
        <f t="shared" si="58"/>
        <v>6</v>
      </c>
      <c r="L168" s="65"/>
      <c r="M168" s="65"/>
      <c r="N168" s="65"/>
      <c r="O168" s="65"/>
      <c r="P168" s="65"/>
      <c r="Q168" s="65"/>
      <c r="R168" s="65"/>
      <c r="S168" s="105"/>
      <c r="T168"/>
      <c r="U168"/>
      <c r="V168"/>
      <c r="W168"/>
      <c r="X168"/>
    </row>
    <row r="169" spans="1:24" ht="12.75">
      <c r="A169" s="136"/>
      <c r="B169" s="82">
        <v>125</v>
      </c>
      <c r="C169" s="73">
        <f>-2*$E$32*$M$33+C170</f>
        <v>-3.000000000000001</v>
      </c>
      <c r="D169" s="71">
        <f t="shared" si="60"/>
        <v>5.196152422706632</v>
      </c>
      <c r="E169" s="69">
        <f t="shared" si="61"/>
        <v>371</v>
      </c>
      <c r="F169" s="73">
        <f t="shared" si="62"/>
        <v>-1.5000000000000004</v>
      </c>
      <c r="G169" s="71">
        <f t="shared" si="59"/>
        <v>2.598076211353316</v>
      </c>
      <c r="H169" s="69">
        <f t="shared" si="63"/>
        <v>371</v>
      </c>
      <c r="I169" s="72">
        <f t="shared" si="49"/>
        <v>0.051</v>
      </c>
      <c r="J169" s="165">
        <v>1</v>
      </c>
      <c r="K169" s="112">
        <f t="shared" si="58"/>
        <v>3</v>
      </c>
      <c r="L169" s="65"/>
      <c r="M169" s="65"/>
      <c r="N169" s="65"/>
      <c r="O169" s="65"/>
      <c r="P169" s="65"/>
      <c r="Q169" s="65"/>
      <c r="R169" s="65"/>
      <c r="S169" s="105"/>
      <c r="T169"/>
      <c r="U169"/>
      <c r="V169"/>
      <c r="W169"/>
      <c r="X169"/>
    </row>
    <row r="170" spans="1:24" ht="12.75">
      <c r="A170" s="136"/>
      <c r="B170" s="82">
        <v>126</v>
      </c>
      <c r="C170" s="73">
        <f>-$E$32*$M$33+C171</f>
        <v>-1.5000000000000004</v>
      </c>
      <c r="D170" s="71">
        <f t="shared" si="60"/>
        <v>2.598076211353316</v>
      </c>
      <c r="E170" s="69">
        <f t="shared" si="61"/>
        <v>371</v>
      </c>
      <c r="F170" s="73">
        <f t="shared" si="62"/>
        <v>-0.7500000000000002</v>
      </c>
      <c r="G170" s="71">
        <f t="shared" si="59"/>
        <v>1.299038105676658</v>
      </c>
      <c r="H170" s="69">
        <f t="shared" si="63"/>
        <v>371</v>
      </c>
      <c r="I170" s="72">
        <f t="shared" si="49"/>
        <v>0.051</v>
      </c>
      <c r="J170" s="165">
        <v>1</v>
      </c>
      <c r="K170" s="112">
        <f t="shared" si="58"/>
        <v>1.5</v>
      </c>
      <c r="L170" s="65"/>
      <c r="M170" s="65"/>
      <c r="N170" s="65"/>
      <c r="O170" s="65"/>
      <c r="P170" s="65"/>
      <c r="Q170" s="65"/>
      <c r="R170" s="65"/>
      <c r="S170" s="105"/>
      <c r="T170"/>
      <c r="U170"/>
      <c r="V170"/>
      <c r="W170"/>
      <c r="X170"/>
    </row>
    <row r="171" spans="1:24" ht="12.75">
      <c r="A171" s="136"/>
      <c r="B171" s="82">
        <v>127</v>
      </c>
      <c r="C171" s="73">
        <f>-$E$32*0.5*$M$33+C172</f>
        <v>-0.7500000000000002</v>
      </c>
      <c r="D171" s="71">
        <f t="shared" si="60"/>
        <v>1.299038105676658</v>
      </c>
      <c r="E171" s="69">
        <f t="shared" si="61"/>
        <v>371</v>
      </c>
      <c r="F171" s="73">
        <f t="shared" si="62"/>
        <v>-0.3750000000000001</v>
      </c>
      <c r="G171" s="71">
        <f t="shared" si="59"/>
        <v>0.649519052838329</v>
      </c>
      <c r="H171" s="69">
        <f t="shared" si="63"/>
        <v>371</v>
      </c>
      <c r="I171" s="72">
        <f t="shared" si="49"/>
        <v>0.051</v>
      </c>
      <c r="J171" s="165">
        <v>1</v>
      </c>
      <c r="K171" s="112">
        <f t="shared" si="58"/>
        <v>0.75</v>
      </c>
      <c r="L171" s="65"/>
      <c r="M171" s="65"/>
      <c r="N171" s="65"/>
      <c r="O171" s="65"/>
      <c r="P171" s="65"/>
      <c r="Q171" s="65"/>
      <c r="R171" s="65"/>
      <c r="S171" s="105"/>
      <c r="T171"/>
      <c r="U171"/>
      <c r="V171"/>
      <c r="W171"/>
      <c r="X171"/>
    </row>
    <row r="172" spans="1:24" ht="12.75">
      <c r="A172" s="137" t="s">
        <v>38</v>
      </c>
      <c r="B172" s="94">
        <v>128</v>
      </c>
      <c r="C172" s="73">
        <f>-$E$32*0.5*$M$33</f>
        <v>-0.3750000000000001</v>
      </c>
      <c r="D172" s="71">
        <f>$E$32*0.5*$M$32</f>
        <v>0.649519052838329</v>
      </c>
      <c r="E172" s="69">
        <f t="shared" si="61"/>
        <v>371</v>
      </c>
      <c r="F172" s="73">
        <f>$E$32*0.5*$M$33</f>
        <v>0.3750000000000001</v>
      </c>
      <c r="G172" s="71">
        <f>$E$32*0.5*$M$32</f>
        <v>0.649519052838329</v>
      </c>
      <c r="H172" s="69">
        <f t="shared" si="63"/>
        <v>371</v>
      </c>
      <c r="I172" s="72">
        <f t="shared" si="49"/>
        <v>0.051</v>
      </c>
      <c r="J172" s="165">
        <v>1</v>
      </c>
      <c r="K172" s="138">
        <f>-(C172-F172)</f>
        <v>0.7500000000000002</v>
      </c>
      <c r="L172" s="65"/>
      <c r="M172" s="65"/>
      <c r="N172" s="65"/>
      <c r="O172" s="65"/>
      <c r="P172" s="65"/>
      <c r="Q172" s="65"/>
      <c r="R172" s="65"/>
      <c r="S172" s="105"/>
      <c r="T172"/>
      <c r="U172"/>
      <c r="V172"/>
      <c r="W172"/>
      <c r="X172"/>
    </row>
    <row r="173" spans="1:24" ht="12.75">
      <c r="A173" s="136"/>
      <c r="B173" s="82">
        <v>129</v>
      </c>
      <c r="C173" s="73">
        <f aca="true" t="shared" si="64" ref="C173:C179">F172</f>
        <v>0.3750000000000001</v>
      </c>
      <c r="D173" s="71">
        <f aca="true" t="shared" si="65" ref="D173:D179">G172</f>
        <v>0.649519052838329</v>
      </c>
      <c r="E173" s="69">
        <f t="shared" si="61"/>
        <v>371</v>
      </c>
      <c r="F173" s="73">
        <f>-C171</f>
        <v>0.7500000000000002</v>
      </c>
      <c r="G173" s="71">
        <f>D171</f>
        <v>1.299038105676658</v>
      </c>
      <c r="H173" s="69">
        <f t="shared" si="63"/>
        <v>371</v>
      </c>
      <c r="I173" s="72">
        <f aca="true" t="shared" si="66" ref="I173:I194">$E$33</f>
        <v>0.051</v>
      </c>
      <c r="J173" s="165">
        <v>1</v>
      </c>
      <c r="K173" s="112">
        <f aca="true" t="shared" si="67" ref="K173:K186">-(C173-F173)/($M$33*J173)</f>
        <v>0.75</v>
      </c>
      <c r="L173" s="65"/>
      <c r="M173" s="65"/>
      <c r="N173" s="65"/>
      <c r="O173" s="65"/>
      <c r="P173" s="65"/>
      <c r="Q173" s="65"/>
      <c r="R173" s="65"/>
      <c r="S173" s="105"/>
      <c r="T173"/>
      <c r="U173"/>
      <c r="V173"/>
      <c r="W173"/>
      <c r="X173"/>
    </row>
    <row r="174" spans="1:24" ht="12.75">
      <c r="A174" s="136"/>
      <c r="B174" s="82">
        <v>130</v>
      </c>
      <c r="C174" s="73">
        <f t="shared" si="64"/>
        <v>0.7500000000000002</v>
      </c>
      <c r="D174" s="71">
        <f t="shared" si="65"/>
        <v>1.299038105676658</v>
      </c>
      <c r="E174" s="69">
        <f t="shared" si="61"/>
        <v>371</v>
      </c>
      <c r="F174" s="73">
        <f>-C170</f>
        <v>1.5000000000000004</v>
      </c>
      <c r="G174" s="71">
        <f>D170</f>
        <v>2.598076211353316</v>
      </c>
      <c r="H174" s="69">
        <f t="shared" si="63"/>
        <v>371</v>
      </c>
      <c r="I174" s="72">
        <f t="shared" si="66"/>
        <v>0.051</v>
      </c>
      <c r="J174" s="165">
        <v>1</v>
      </c>
      <c r="K174" s="112">
        <f t="shared" si="67"/>
        <v>1.5</v>
      </c>
      <c r="L174" s="65"/>
      <c r="M174" s="65"/>
      <c r="N174" s="65"/>
      <c r="O174" s="65"/>
      <c r="P174" s="65"/>
      <c r="Q174" s="65"/>
      <c r="R174" s="65"/>
      <c r="S174" s="105"/>
      <c r="T174"/>
      <c r="U174"/>
      <c r="V174"/>
      <c r="W174"/>
      <c r="X174"/>
    </row>
    <row r="175" spans="1:24" ht="12.75">
      <c r="A175" s="136"/>
      <c r="B175" s="82">
        <v>131</v>
      </c>
      <c r="C175" s="73">
        <f t="shared" si="64"/>
        <v>1.5000000000000004</v>
      </c>
      <c r="D175" s="71">
        <f t="shared" si="65"/>
        <v>2.598076211353316</v>
      </c>
      <c r="E175" s="69">
        <f t="shared" si="61"/>
        <v>371</v>
      </c>
      <c r="F175" s="73">
        <f>-C169</f>
        <v>3.000000000000001</v>
      </c>
      <c r="G175" s="71">
        <f>D169</f>
        <v>5.196152422706632</v>
      </c>
      <c r="H175" s="69">
        <f t="shared" si="63"/>
        <v>371</v>
      </c>
      <c r="I175" s="72">
        <f t="shared" si="66"/>
        <v>0.051</v>
      </c>
      <c r="J175" s="165">
        <v>1</v>
      </c>
      <c r="K175" s="112">
        <f t="shared" si="67"/>
        <v>3</v>
      </c>
      <c r="L175" s="65"/>
      <c r="M175" s="65"/>
      <c r="N175" s="65"/>
      <c r="O175" s="65"/>
      <c r="P175" s="65"/>
      <c r="Q175" s="65"/>
      <c r="R175" s="65"/>
      <c r="S175" s="105"/>
      <c r="T175"/>
      <c r="U175"/>
      <c r="V175"/>
      <c r="W175"/>
      <c r="X175"/>
    </row>
    <row r="176" spans="1:24" ht="12.75">
      <c r="A176" s="136" t="s">
        <v>32</v>
      </c>
      <c r="B176" s="82">
        <v>132</v>
      </c>
      <c r="C176" s="73">
        <f t="shared" si="64"/>
        <v>3.000000000000001</v>
      </c>
      <c r="D176" s="71">
        <f t="shared" si="65"/>
        <v>5.196152422706632</v>
      </c>
      <c r="E176" s="69">
        <f t="shared" si="61"/>
        <v>371</v>
      </c>
      <c r="F176" s="73">
        <f>-C168</f>
        <v>6.000000000000002</v>
      </c>
      <c r="G176" s="71">
        <f>D168</f>
        <v>10.392304845413264</v>
      </c>
      <c r="H176" s="69">
        <f t="shared" si="63"/>
        <v>371</v>
      </c>
      <c r="I176" s="72">
        <f t="shared" si="66"/>
        <v>0.051</v>
      </c>
      <c r="J176" s="165">
        <v>1</v>
      </c>
      <c r="K176" s="112">
        <f t="shared" si="67"/>
        <v>6</v>
      </c>
      <c r="L176" s="65"/>
      <c r="M176" s="65"/>
      <c r="N176" s="65"/>
      <c r="O176" s="65"/>
      <c r="P176" s="65"/>
      <c r="Q176" s="65"/>
      <c r="R176" s="65"/>
      <c r="S176" s="105"/>
      <c r="T176"/>
      <c r="U176"/>
      <c r="V176"/>
      <c r="W176"/>
      <c r="X176"/>
    </row>
    <row r="177" spans="1:24" ht="12.75">
      <c r="A177" s="136"/>
      <c r="B177" s="82">
        <v>133</v>
      </c>
      <c r="C177" s="73">
        <f t="shared" si="64"/>
        <v>6.000000000000002</v>
      </c>
      <c r="D177" s="71">
        <f t="shared" si="65"/>
        <v>10.392304845413264</v>
      </c>
      <c r="E177" s="69">
        <f t="shared" si="61"/>
        <v>371</v>
      </c>
      <c r="F177" s="73">
        <f>-C167</f>
        <v>12.000000000000004</v>
      </c>
      <c r="G177" s="71">
        <f>D167</f>
        <v>20.784609690826528</v>
      </c>
      <c r="H177" s="69">
        <f t="shared" si="63"/>
        <v>371</v>
      </c>
      <c r="I177" s="72">
        <f t="shared" si="66"/>
        <v>0.051</v>
      </c>
      <c r="J177" s="165">
        <v>1</v>
      </c>
      <c r="K177" s="112">
        <f t="shared" si="67"/>
        <v>12</v>
      </c>
      <c r="L177" s="65"/>
      <c r="M177" s="65"/>
      <c r="N177" s="65"/>
      <c r="O177" s="65"/>
      <c r="P177" s="65"/>
      <c r="Q177" s="65"/>
      <c r="R177" s="65"/>
      <c r="S177" s="105"/>
      <c r="T177"/>
      <c r="U177"/>
      <c r="V177"/>
      <c r="W177"/>
      <c r="X177"/>
    </row>
    <row r="178" spans="1:24" ht="12.75">
      <c r="A178" s="136"/>
      <c r="B178" s="82">
        <v>134</v>
      </c>
      <c r="C178" s="73">
        <f t="shared" si="64"/>
        <v>12.000000000000004</v>
      </c>
      <c r="D178" s="71">
        <f t="shared" si="65"/>
        <v>20.784609690826528</v>
      </c>
      <c r="E178" s="69">
        <f t="shared" si="61"/>
        <v>371</v>
      </c>
      <c r="F178" s="70">
        <f>-C166</f>
        <v>28.86245893273101</v>
      </c>
      <c r="G178" s="71">
        <f>D166</f>
        <v>49.991245302860285</v>
      </c>
      <c r="H178" s="69">
        <f t="shared" si="63"/>
        <v>371</v>
      </c>
      <c r="I178" s="72">
        <f t="shared" si="66"/>
        <v>0.051</v>
      </c>
      <c r="J178" s="165">
        <v>3</v>
      </c>
      <c r="K178" s="112">
        <f t="shared" si="67"/>
        <v>11.241639288487333</v>
      </c>
      <c r="L178" s="65"/>
      <c r="M178" s="65"/>
      <c r="N178" s="65"/>
      <c r="O178" s="65"/>
      <c r="P178" s="65"/>
      <c r="Q178" s="65"/>
      <c r="R178" s="65"/>
      <c r="S178" s="105"/>
      <c r="T178"/>
      <c r="U178"/>
      <c r="V178"/>
      <c r="W178"/>
      <c r="X178"/>
    </row>
    <row r="179" spans="1:24" ht="12.75">
      <c r="A179" s="136"/>
      <c r="B179" s="82">
        <v>135</v>
      </c>
      <c r="C179" s="70">
        <f t="shared" si="64"/>
        <v>28.86245893273101</v>
      </c>
      <c r="D179" s="71">
        <f t="shared" si="65"/>
        <v>49.991245302860285</v>
      </c>
      <c r="E179" s="69">
        <f t="shared" si="61"/>
        <v>371</v>
      </c>
      <c r="F179" s="70">
        <f>-C165</f>
        <v>54.92500000000001</v>
      </c>
      <c r="G179" s="71">
        <f>D165</f>
        <v>4.8496</v>
      </c>
      <c r="H179" s="69">
        <f t="shared" si="63"/>
        <v>371</v>
      </c>
      <c r="I179" s="72">
        <f t="shared" si="66"/>
        <v>0.051</v>
      </c>
      <c r="J179" s="165">
        <v>5</v>
      </c>
      <c r="K179" s="112">
        <f t="shared" si="67"/>
        <v>10.425016426907598</v>
      </c>
      <c r="L179" s="65"/>
      <c r="M179" s="65"/>
      <c r="N179" s="65"/>
      <c r="O179" s="65"/>
      <c r="P179" s="65"/>
      <c r="Q179" s="65"/>
      <c r="R179" s="65"/>
      <c r="S179" s="105"/>
      <c r="T179"/>
      <c r="U179"/>
      <c r="V179"/>
      <c r="W179"/>
      <c r="X179"/>
    </row>
    <row r="180" spans="1:24" ht="12.75">
      <c r="A180" s="139"/>
      <c r="B180" s="82">
        <v>136</v>
      </c>
      <c r="C180" s="70">
        <f>2*$C181+$F$40*$M$37</f>
        <v>-56.02500000000001</v>
      </c>
      <c r="D180" s="71">
        <f>-$F$40</f>
        <v>-3.1176</v>
      </c>
      <c r="E180" s="69">
        <f t="shared" si="61"/>
        <v>371</v>
      </c>
      <c r="F180" s="70">
        <f>C181</f>
        <v>-28.912473599612795</v>
      </c>
      <c r="G180" s="71">
        <f aca="true" t="shared" si="68" ref="G180:G186">F180*$M$34</f>
        <v>-50.07787324702317</v>
      </c>
      <c r="H180" s="69">
        <f t="shared" si="63"/>
        <v>371</v>
      </c>
      <c r="I180" s="72">
        <f t="shared" si="66"/>
        <v>0.051</v>
      </c>
      <c r="J180" s="165">
        <v>5</v>
      </c>
      <c r="K180" s="112">
        <f t="shared" si="67"/>
        <v>10.845010560154885</v>
      </c>
      <c r="L180" s="65"/>
      <c r="M180" s="65"/>
      <c r="N180" s="65"/>
      <c r="O180" s="65"/>
      <c r="P180" s="65"/>
      <c r="Q180" s="65"/>
      <c r="R180" s="65"/>
      <c r="S180" s="105"/>
      <c r="T180"/>
      <c r="U180"/>
      <c r="V180"/>
      <c r="W180"/>
      <c r="X180"/>
    </row>
    <row r="181" spans="1:24" ht="12.75">
      <c r="A181" s="139"/>
      <c r="B181" s="82">
        <v>137</v>
      </c>
      <c r="C181" s="70">
        <f>-$M$33*(0.5*$E$40+0.25*$E$32+0.5*$F$40/$M$36)</f>
        <v>-28.912473599612795</v>
      </c>
      <c r="D181" s="71">
        <f aca="true" t="shared" si="69" ref="D181:D186">C181*$M$34</f>
        <v>-50.07787324702317</v>
      </c>
      <c r="E181" s="69">
        <f t="shared" si="61"/>
        <v>371</v>
      </c>
      <c r="F181" s="73">
        <f aca="true" t="shared" si="70" ref="F181:F186">C182</f>
        <v>-12.000000000000004</v>
      </c>
      <c r="G181" s="71">
        <f t="shared" si="68"/>
        <v>-20.784609690826528</v>
      </c>
      <c r="H181" s="69">
        <f t="shared" si="63"/>
        <v>371</v>
      </c>
      <c r="I181" s="72">
        <f t="shared" si="66"/>
        <v>0.051</v>
      </c>
      <c r="J181" s="165">
        <v>3</v>
      </c>
      <c r="K181" s="112">
        <f t="shared" si="67"/>
        <v>11.274982399741857</v>
      </c>
      <c r="L181" s="65"/>
      <c r="M181" s="65"/>
      <c r="N181" s="65"/>
      <c r="O181" s="65"/>
      <c r="P181" s="65"/>
      <c r="Q181" s="65"/>
      <c r="R181" s="65"/>
      <c r="S181" s="105"/>
      <c r="T181"/>
      <c r="U181"/>
      <c r="V181"/>
      <c r="W181"/>
      <c r="X181"/>
    </row>
    <row r="182" spans="1:24" ht="12.75">
      <c r="A182" s="139" t="s">
        <v>31</v>
      </c>
      <c r="B182" s="82">
        <v>138</v>
      </c>
      <c r="C182" s="73">
        <f>-8*$E$32*$M$33+C183</f>
        <v>-12.000000000000004</v>
      </c>
      <c r="D182" s="71">
        <f t="shared" si="69"/>
        <v>-20.784609690826528</v>
      </c>
      <c r="E182" s="69">
        <f t="shared" si="61"/>
        <v>371</v>
      </c>
      <c r="F182" s="73">
        <f t="shared" si="70"/>
        <v>-6.000000000000002</v>
      </c>
      <c r="G182" s="71">
        <f t="shared" si="68"/>
        <v>-10.392304845413264</v>
      </c>
      <c r="H182" s="69">
        <f t="shared" si="63"/>
        <v>371</v>
      </c>
      <c r="I182" s="72">
        <f t="shared" si="66"/>
        <v>0.051</v>
      </c>
      <c r="J182" s="165">
        <v>1</v>
      </c>
      <c r="K182" s="112">
        <f t="shared" si="67"/>
        <v>12</v>
      </c>
      <c r="L182" s="65"/>
      <c r="M182" s="65"/>
      <c r="N182" s="65"/>
      <c r="O182" s="65"/>
      <c r="P182" s="65"/>
      <c r="Q182" s="65"/>
      <c r="R182" s="65"/>
      <c r="S182" s="105"/>
      <c r="T182"/>
      <c r="U182"/>
      <c r="V182"/>
      <c r="W182"/>
      <c r="X182"/>
    </row>
    <row r="183" spans="1:24" ht="12.75">
      <c r="A183" s="139"/>
      <c r="B183" s="82">
        <v>139</v>
      </c>
      <c r="C183" s="73">
        <f>-4*$E$32*$M$33+C184</f>
        <v>-6.000000000000002</v>
      </c>
      <c r="D183" s="71">
        <f t="shared" si="69"/>
        <v>-10.392304845413264</v>
      </c>
      <c r="E183" s="69">
        <f t="shared" si="61"/>
        <v>371</v>
      </c>
      <c r="F183" s="73">
        <f t="shared" si="70"/>
        <v>-3.000000000000001</v>
      </c>
      <c r="G183" s="71">
        <f t="shared" si="68"/>
        <v>-5.196152422706632</v>
      </c>
      <c r="H183" s="69">
        <f t="shared" si="63"/>
        <v>371</v>
      </c>
      <c r="I183" s="72">
        <f t="shared" si="66"/>
        <v>0.051</v>
      </c>
      <c r="J183" s="165">
        <v>1</v>
      </c>
      <c r="K183" s="112">
        <f t="shared" si="67"/>
        <v>6</v>
      </c>
      <c r="L183" s="65"/>
      <c r="M183" s="65"/>
      <c r="N183" s="65"/>
      <c r="O183" s="65"/>
      <c r="P183" s="65"/>
      <c r="Q183" s="65"/>
      <c r="R183" s="65"/>
      <c r="S183" s="105"/>
      <c r="T183"/>
      <c r="U183"/>
      <c r="V183"/>
      <c r="W183"/>
      <c r="X183"/>
    </row>
    <row r="184" spans="1:24" ht="12.75">
      <c r="A184" s="139"/>
      <c r="B184" s="82">
        <v>140</v>
      </c>
      <c r="C184" s="73">
        <f>-2*$E$32*$M$33+C185</f>
        <v>-3.000000000000001</v>
      </c>
      <c r="D184" s="71">
        <f t="shared" si="69"/>
        <v>-5.196152422706632</v>
      </c>
      <c r="E184" s="69">
        <f t="shared" si="61"/>
        <v>371</v>
      </c>
      <c r="F184" s="73">
        <f t="shared" si="70"/>
        <v>-1.5000000000000004</v>
      </c>
      <c r="G184" s="71">
        <f t="shared" si="68"/>
        <v>-2.598076211353316</v>
      </c>
      <c r="H184" s="69">
        <f t="shared" si="63"/>
        <v>371</v>
      </c>
      <c r="I184" s="72">
        <f t="shared" si="66"/>
        <v>0.051</v>
      </c>
      <c r="J184" s="165">
        <v>1</v>
      </c>
      <c r="K184" s="112">
        <f t="shared" si="67"/>
        <v>3</v>
      </c>
      <c r="L184" s="65"/>
      <c r="M184" s="65"/>
      <c r="N184" s="65"/>
      <c r="O184" s="65"/>
      <c r="P184" s="65"/>
      <c r="Q184" s="65"/>
      <c r="R184" s="65"/>
      <c r="S184" s="105"/>
      <c r="T184"/>
      <c r="U184"/>
      <c r="V184"/>
      <c r="W184"/>
      <c r="X184"/>
    </row>
    <row r="185" spans="1:24" ht="12.75">
      <c r="A185" s="139"/>
      <c r="B185" s="82">
        <v>141</v>
      </c>
      <c r="C185" s="73">
        <f>-$E$32*$M$33+C186</f>
        <v>-1.5000000000000004</v>
      </c>
      <c r="D185" s="71">
        <f t="shared" si="69"/>
        <v>-2.598076211353316</v>
      </c>
      <c r="E185" s="69">
        <f t="shared" si="61"/>
        <v>371</v>
      </c>
      <c r="F185" s="73">
        <f t="shared" si="70"/>
        <v>-0.7500000000000002</v>
      </c>
      <c r="G185" s="71">
        <f t="shared" si="68"/>
        <v>-1.299038105676658</v>
      </c>
      <c r="H185" s="69">
        <f t="shared" si="63"/>
        <v>371</v>
      </c>
      <c r="I185" s="72">
        <f t="shared" si="66"/>
        <v>0.051</v>
      </c>
      <c r="J185" s="165">
        <v>1</v>
      </c>
      <c r="K185" s="112">
        <f t="shared" si="67"/>
        <v>1.5</v>
      </c>
      <c r="L185" s="65"/>
      <c r="M185" s="65"/>
      <c r="N185" s="65"/>
      <c r="O185" s="65"/>
      <c r="P185" s="65"/>
      <c r="Q185" s="65"/>
      <c r="R185" s="65"/>
      <c r="S185" s="105"/>
      <c r="T185"/>
      <c r="U185"/>
      <c r="V185"/>
      <c r="W185"/>
      <c r="X185"/>
    </row>
    <row r="186" spans="1:24" ht="12.75">
      <c r="A186" s="139"/>
      <c r="B186" s="82">
        <v>142</v>
      </c>
      <c r="C186" s="73">
        <f>-$E$32*0.5*$M$33+C187</f>
        <v>-0.7500000000000002</v>
      </c>
      <c r="D186" s="71">
        <f t="shared" si="69"/>
        <v>-1.299038105676658</v>
      </c>
      <c r="E186" s="69">
        <f t="shared" si="61"/>
        <v>371</v>
      </c>
      <c r="F186" s="73">
        <f t="shared" si="70"/>
        <v>-0.3750000000000001</v>
      </c>
      <c r="G186" s="71">
        <f t="shared" si="68"/>
        <v>-0.649519052838329</v>
      </c>
      <c r="H186" s="69">
        <f t="shared" si="63"/>
        <v>371</v>
      </c>
      <c r="I186" s="72">
        <f t="shared" si="66"/>
        <v>0.051</v>
      </c>
      <c r="J186" s="165">
        <v>1</v>
      </c>
      <c r="K186" s="112">
        <f t="shared" si="67"/>
        <v>0.75</v>
      </c>
      <c r="L186" s="65"/>
      <c r="M186" s="65"/>
      <c r="N186" s="65"/>
      <c r="O186" s="65"/>
      <c r="P186" s="65"/>
      <c r="Q186" s="65"/>
      <c r="R186" s="65"/>
      <c r="S186" s="105"/>
      <c r="T186"/>
      <c r="U186"/>
      <c r="V186"/>
      <c r="W186"/>
      <c r="X186"/>
    </row>
    <row r="187" spans="1:24" ht="12.75">
      <c r="A187" s="140" t="s">
        <v>42</v>
      </c>
      <c r="B187" s="95">
        <v>143</v>
      </c>
      <c r="C187" s="73">
        <f>-$E$32*0.5*$M$33</f>
        <v>-0.3750000000000001</v>
      </c>
      <c r="D187" s="71">
        <f>-$E$32*0.5*$M$32</f>
        <v>-0.649519052838329</v>
      </c>
      <c r="E187" s="69">
        <f t="shared" si="61"/>
        <v>371</v>
      </c>
      <c r="F187" s="73">
        <f>$E$32*0.5*$M$33</f>
        <v>0.3750000000000001</v>
      </c>
      <c r="G187" s="71">
        <f>-$E$32*0.5*$M$32</f>
        <v>-0.649519052838329</v>
      </c>
      <c r="H187" s="69">
        <f t="shared" si="63"/>
        <v>371</v>
      </c>
      <c r="I187" s="72">
        <f t="shared" si="66"/>
        <v>0.051</v>
      </c>
      <c r="J187" s="165">
        <v>1</v>
      </c>
      <c r="K187" s="141">
        <f>-(C187-F187)</f>
        <v>0.7500000000000002</v>
      </c>
      <c r="L187" s="65"/>
      <c r="M187" s="65"/>
      <c r="N187" s="65"/>
      <c r="O187" s="65"/>
      <c r="P187" s="65"/>
      <c r="Q187" s="65"/>
      <c r="R187" s="65"/>
      <c r="S187" s="105"/>
      <c r="T187"/>
      <c r="U187"/>
      <c r="V187"/>
      <c r="W187"/>
      <c r="X187"/>
    </row>
    <row r="188" spans="1:24" ht="12.75">
      <c r="A188" s="139"/>
      <c r="B188" s="82">
        <v>144</v>
      </c>
      <c r="C188" s="73">
        <f aca="true" t="shared" si="71" ref="C188:C194">F187</f>
        <v>0.3750000000000001</v>
      </c>
      <c r="D188" s="71">
        <f aca="true" t="shared" si="72" ref="D188:D194">G187</f>
        <v>-0.649519052838329</v>
      </c>
      <c r="E188" s="69">
        <f t="shared" si="61"/>
        <v>371</v>
      </c>
      <c r="F188" s="73">
        <f>-C186</f>
        <v>0.7500000000000002</v>
      </c>
      <c r="G188" s="71">
        <f>D186</f>
        <v>-1.299038105676658</v>
      </c>
      <c r="H188" s="69">
        <f t="shared" si="63"/>
        <v>371</v>
      </c>
      <c r="I188" s="72">
        <f t="shared" si="66"/>
        <v>0.051</v>
      </c>
      <c r="J188" s="165">
        <v>1</v>
      </c>
      <c r="K188" s="112">
        <f aca="true" t="shared" si="73" ref="K188:K194">-(C188-F188)/($M$33*J188)</f>
        <v>0.75</v>
      </c>
      <c r="L188" s="65"/>
      <c r="M188" s="65"/>
      <c r="N188" s="65"/>
      <c r="O188" s="65"/>
      <c r="P188" s="65"/>
      <c r="Q188" s="65"/>
      <c r="R188" s="65"/>
      <c r="S188" s="105"/>
      <c r="T188"/>
      <c r="U188"/>
      <c r="V188"/>
      <c r="W188"/>
      <c r="X188"/>
    </row>
    <row r="189" spans="1:24" ht="12.75">
      <c r="A189" s="139"/>
      <c r="B189" s="82">
        <v>145</v>
      </c>
      <c r="C189" s="73">
        <f t="shared" si="71"/>
        <v>0.7500000000000002</v>
      </c>
      <c r="D189" s="71">
        <f t="shared" si="72"/>
        <v>-1.299038105676658</v>
      </c>
      <c r="E189" s="69">
        <f t="shared" si="61"/>
        <v>371</v>
      </c>
      <c r="F189" s="73">
        <f>-C185</f>
        <v>1.5000000000000004</v>
      </c>
      <c r="G189" s="71">
        <f>D185</f>
        <v>-2.598076211353316</v>
      </c>
      <c r="H189" s="69">
        <f t="shared" si="63"/>
        <v>371</v>
      </c>
      <c r="I189" s="72">
        <f t="shared" si="66"/>
        <v>0.051</v>
      </c>
      <c r="J189" s="165">
        <v>1</v>
      </c>
      <c r="K189" s="112">
        <f t="shared" si="73"/>
        <v>1.5</v>
      </c>
      <c r="L189" s="65"/>
      <c r="M189" s="65"/>
      <c r="N189" s="65"/>
      <c r="O189" s="65"/>
      <c r="P189" s="65"/>
      <c r="Q189" s="65"/>
      <c r="R189" s="65"/>
      <c r="S189" s="105"/>
      <c r="T189"/>
      <c r="U189"/>
      <c r="V189"/>
      <c r="W189"/>
      <c r="X189"/>
    </row>
    <row r="190" spans="1:24" ht="12.75">
      <c r="A190" s="139" t="s">
        <v>32</v>
      </c>
      <c r="B190" s="82">
        <v>146</v>
      </c>
      <c r="C190" s="73">
        <f t="shared" si="71"/>
        <v>1.5000000000000004</v>
      </c>
      <c r="D190" s="71">
        <f t="shared" si="72"/>
        <v>-2.598076211353316</v>
      </c>
      <c r="E190" s="69">
        <f t="shared" si="61"/>
        <v>371</v>
      </c>
      <c r="F190" s="73">
        <f>-C184</f>
        <v>3.000000000000001</v>
      </c>
      <c r="G190" s="71">
        <f>D184</f>
        <v>-5.196152422706632</v>
      </c>
      <c r="H190" s="69">
        <f t="shared" si="63"/>
        <v>371</v>
      </c>
      <c r="I190" s="72">
        <f t="shared" si="66"/>
        <v>0.051</v>
      </c>
      <c r="J190" s="165">
        <v>1</v>
      </c>
      <c r="K190" s="112">
        <f t="shared" si="73"/>
        <v>3</v>
      </c>
      <c r="L190" s="65"/>
      <c r="M190" s="65"/>
      <c r="N190" s="65"/>
      <c r="O190" s="65"/>
      <c r="P190" s="65"/>
      <c r="Q190" s="65"/>
      <c r="R190" s="65"/>
      <c r="S190" s="105"/>
      <c r="T190"/>
      <c r="U190"/>
      <c r="V190"/>
      <c r="W190"/>
      <c r="X190"/>
    </row>
    <row r="191" spans="1:24" ht="12.75">
      <c r="A191" s="139"/>
      <c r="B191" s="82">
        <v>147</v>
      </c>
      <c r="C191" s="73">
        <f t="shared" si="71"/>
        <v>3.000000000000001</v>
      </c>
      <c r="D191" s="71">
        <f t="shared" si="72"/>
        <v>-5.196152422706632</v>
      </c>
      <c r="E191" s="69">
        <f t="shared" si="61"/>
        <v>371</v>
      </c>
      <c r="F191" s="73">
        <f>-C183</f>
        <v>6.000000000000002</v>
      </c>
      <c r="G191" s="71">
        <f>D183</f>
        <v>-10.392304845413264</v>
      </c>
      <c r="H191" s="69">
        <f t="shared" si="63"/>
        <v>371</v>
      </c>
      <c r="I191" s="72">
        <f t="shared" si="66"/>
        <v>0.051</v>
      </c>
      <c r="J191" s="165">
        <v>1</v>
      </c>
      <c r="K191" s="112">
        <f t="shared" si="73"/>
        <v>6</v>
      </c>
      <c r="L191" s="65"/>
      <c r="M191" s="65"/>
      <c r="N191" s="65"/>
      <c r="O191" s="65"/>
      <c r="P191" s="65"/>
      <c r="Q191" s="65"/>
      <c r="R191" s="65"/>
      <c r="S191" s="105"/>
      <c r="T191"/>
      <c r="U191"/>
      <c r="V191"/>
      <c r="W191"/>
      <c r="X191"/>
    </row>
    <row r="192" spans="1:24" ht="12.75">
      <c r="A192" s="139"/>
      <c r="B192" s="82">
        <v>148</v>
      </c>
      <c r="C192" s="73">
        <f t="shared" si="71"/>
        <v>6.000000000000002</v>
      </c>
      <c r="D192" s="71">
        <f t="shared" si="72"/>
        <v>-10.392304845413264</v>
      </c>
      <c r="E192" s="69">
        <f t="shared" si="61"/>
        <v>371</v>
      </c>
      <c r="F192" s="73">
        <f>-C182</f>
        <v>12.000000000000004</v>
      </c>
      <c r="G192" s="71">
        <f>D182</f>
        <v>-20.784609690826528</v>
      </c>
      <c r="H192" s="69">
        <f t="shared" si="63"/>
        <v>371</v>
      </c>
      <c r="I192" s="72">
        <f t="shared" si="66"/>
        <v>0.051</v>
      </c>
      <c r="J192" s="165">
        <v>1</v>
      </c>
      <c r="K192" s="112">
        <f t="shared" si="73"/>
        <v>12</v>
      </c>
      <c r="L192" s="65"/>
      <c r="M192" s="65"/>
      <c r="N192" s="65"/>
      <c r="O192" s="65"/>
      <c r="P192" s="65"/>
      <c r="Q192" s="65"/>
      <c r="R192" s="65"/>
      <c r="S192" s="105"/>
      <c r="T192"/>
      <c r="U192"/>
      <c r="V192"/>
      <c r="W192"/>
      <c r="X192"/>
    </row>
    <row r="193" spans="1:24" ht="12.75">
      <c r="A193" s="139"/>
      <c r="B193" s="82">
        <v>149</v>
      </c>
      <c r="C193" s="73">
        <f t="shared" si="71"/>
        <v>12.000000000000004</v>
      </c>
      <c r="D193" s="71">
        <f t="shared" si="72"/>
        <v>-20.784609690826528</v>
      </c>
      <c r="E193" s="69">
        <f t="shared" si="61"/>
        <v>371</v>
      </c>
      <c r="F193" s="70">
        <f>-C181</f>
        <v>28.912473599612795</v>
      </c>
      <c r="G193" s="71">
        <f>D181</f>
        <v>-50.07787324702317</v>
      </c>
      <c r="H193" s="69">
        <f t="shared" si="63"/>
        <v>371</v>
      </c>
      <c r="I193" s="72">
        <f t="shared" si="66"/>
        <v>0.051</v>
      </c>
      <c r="J193" s="165">
        <v>3</v>
      </c>
      <c r="K193" s="112">
        <f t="shared" si="73"/>
        <v>11.274982399741857</v>
      </c>
      <c r="L193" s="65"/>
      <c r="M193" s="65"/>
      <c r="N193" s="65"/>
      <c r="O193" s="65"/>
      <c r="P193" s="65"/>
      <c r="Q193" s="65"/>
      <c r="R193" s="65"/>
      <c r="S193" s="105"/>
      <c r="T193"/>
      <c r="U193"/>
      <c r="V193"/>
      <c r="W193"/>
      <c r="X193"/>
    </row>
    <row r="194" spans="1:24" ht="12.75">
      <c r="A194" s="142"/>
      <c r="B194" s="143">
        <v>150</v>
      </c>
      <c r="C194" s="144">
        <f t="shared" si="71"/>
        <v>28.912473599612795</v>
      </c>
      <c r="D194" s="145">
        <f t="shared" si="72"/>
        <v>-50.07787324702317</v>
      </c>
      <c r="E194" s="146">
        <f t="shared" si="61"/>
        <v>371</v>
      </c>
      <c r="F194" s="144">
        <f>-C180</f>
        <v>56.02500000000001</v>
      </c>
      <c r="G194" s="145">
        <f>D180</f>
        <v>-3.1176</v>
      </c>
      <c r="H194" s="146">
        <f t="shared" si="63"/>
        <v>371</v>
      </c>
      <c r="I194" s="147">
        <f t="shared" si="66"/>
        <v>0.051</v>
      </c>
      <c r="J194" s="167">
        <v>5</v>
      </c>
      <c r="K194" s="148">
        <f t="shared" si="73"/>
        <v>10.845010560154885</v>
      </c>
      <c r="L194" s="65"/>
      <c r="M194" s="65"/>
      <c r="N194" s="65"/>
      <c r="O194" s="65"/>
      <c r="P194" s="65"/>
      <c r="Q194" s="65"/>
      <c r="R194" s="65"/>
      <c r="S194" s="105"/>
      <c r="T194"/>
      <c r="U194"/>
      <c r="V194"/>
      <c r="W194"/>
      <c r="X194"/>
    </row>
    <row r="195" spans="1:24" ht="13.5" thickBot="1">
      <c r="A195" s="168"/>
      <c r="B195" s="169"/>
      <c r="C195" s="169"/>
      <c r="D195" s="169"/>
      <c r="E195" s="169"/>
      <c r="F195" s="169"/>
      <c r="G195" s="169"/>
      <c r="H195" s="169"/>
      <c r="I195" s="169"/>
      <c r="J195" s="169"/>
      <c r="K195" s="80"/>
      <c r="L195" s="106"/>
      <c r="M195" s="106"/>
      <c r="N195" s="106"/>
      <c r="O195" s="106"/>
      <c r="P195" s="106"/>
      <c r="Q195" s="106"/>
      <c r="R195" s="106"/>
      <c r="S195" s="107"/>
      <c r="T195"/>
      <c r="U195"/>
      <c r="V195"/>
      <c r="W195"/>
      <c r="X195"/>
    </row>
    <row r="196" spans="1:2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Hexbeam to EZNEC XYZ co-ordinates</dc:title>
  <dc:subject>Computes XYZ coordinates from hexbeam wire lengths</dc:subject>
  <dc:creator>leo shoemaker, K4KIO</dc:creator>
  <cp:keywords/>
  <dc:description/>
  <cp:lastModifiedBy>leo shoemaker</cp:lastModifiedBy>
  <dcterms:created xsi:type="dcterms:W3CDTF">2006-11-06T20:32:09Z</dcterms:created>
  <dcterms:modified xsi:type="dcterms:W3CDTF">2007-02-13T20:49:43Z</dcterms:modified>
  <cp:category/>
  <cp:version/>
  <cp:contentType/>
  <cp:contentStatus/>
</cp:coreProperties>
</file>